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Questa_cartella_di_lavoro"/>
  <bookViews>
    <workbookView xWindow="480" yWindow="30" windowWidth="18195" windowHeight="8505" activeTab="0"/>
  </bookViews>
  <sheets>
    <sheet name="Tabella 1" sheetId="1" r:id="rId1"/>
    <sheet name="Tabella 2 Competenze" sheetId="2" r:id="rId2"/>
    <sheet name="DV-IDENTITY-0" sheetId="3" state="veryHidden" r:id="rId3"/>
  </sheets>
  <externalReferences>
    <externalReference r:id="rId6"/>
  </externalReferences>
  <definedNames/>
  <calcPr fullCalcOnLoad="1"/>
</workbook>
</file>

<file path=xl/sharedStrings.xml><?xml version="1.0" encoding="utf-8"?>
<sst xmlns="http://schemas.openxmlformats.org/spreadsheetml/2006/main" count="734" uniqueCount="588">
  <si>
    <t>A</t>
  </si>
  <si>
    <t>AREA DEI RILIEVI TOPOGRAFICI E CATASTALI</t>
  </si>
  <si>
    <t>Rilievi topografici</t>
  </si>
  <si>
    <t>Rilievi catastali</t>
  </si>
  <si>
    <t xml:space="preserve">Pratica catastale </t>
  </si>
  <si>
    <t>B</t>
  </si>
  <si>
    <t xml:space="preserve">AREA DEI RILIEVI  E STUDI BOTANICI,  AGRONOMICI, FORESTALI, AMBIENTALI E PAESAGGISTICI CON RESTITUZIONE CARTOGRAFIA </t>
  </si>
  <si>
    <t xml:space="preserve">Rilievi, studi e classificazione agronomica </t>
  </si>
  <si>
    <t>Rilievi, studi e classificazione pedologici</t>
  </si>
  <si>
    <t>Rilievi, studi e classificazione delle qualità di coltura</t>
  </si>
  <si>
    <t xml:space="preserve">Rilievi, studi e classificazione delle attività produttive </t>
  </si>
  <si>
    <t>Rilievi, studi e classificazione delle qualità di coltura, della relativa biomassa a fini energetici</t>
  </si>
  <si>
    <t>Rilievi, studi e classificazione di interventi di protezione e sistemi di allarme per calamità naturali;</t>
  </si>
  <si>
    <t xml:space="preserve">Rilievo botanico e analisi vegetazionali dei popolamenti erbacei ed arborei </t>
  </si>
  <si>
    <t>Progettazione e relativa elaborazioni di sistemi informativi territoriali dei  dati territoriali, ambientali e socio-economici, ecc. (GIS)</t>
  </si>
  <si>
    <t>Elaborazioni, analisi  e valutazioni con modelli numerici, software dedicati, (incendi boschivi, diffusione inquinanti, idrologia ed idrogeologia, regimazione delle acque, idraulica, colate di fango e di detriti, esondazioni, aree di pericolo, stabilità dei pendii, filtrazioni, reti ecologiche e dinamiche ecologiche);</t>
  </si>
  <si>
    <t xml:space="preserve"> Studio, analisi e valutazioni del rischio e pericolo di aree urbane e rurali e piani di protezione civile</t>
  </si>
  <si>
    <t>C</t>
  </si>
  <si>
    <t>AREA DELLE VALUTAZIONI ECONOMICHE, ESTIMATIVE DI TIPO MONETARIO E NON</t>
  </si>
  <si>
    <t>Stima di beni immobili</t>
  </si>
  <si>
    <t>Stima di beni mobili e immateriali</t>
  </si>
  <si>
    <t>Stima di miglioramenti fondiari</t>
  </si>
  <si>
    <t>Stime per espropriazione di immobili</t>
  </si>
  <si>
    <t>Stime per divisioni patrimoniali</t>
  </si>
  <si>
    <t>Stima di fabbricati industriali e macchinari</t>
  </si>
  <si>
    <t>Stime forestali e di colture arboree da legno</t>
  </si>
  <si>
    <t>Stime forestali e determinazione del valore di macchiatico</t>
  </si>
  <si>
    <t>Stima dei patrimoni</t>
  </si>
  <si>
    <t>Stime di scorte e di frutti pendenti</t>
  </si>
  <si>
    <t>Stima della servitù prediale</t>
  </si>
  <si>
    <t>Stima dell'usufrutto e dei diritti reali di godimento</t>
  </si>
  <si>
    <t>Stima delle acque</t>
  </si>
  <si>
    <t>Stima dei prodotti e accertamento di qualità</t>
  </si>
  <si>
    <t>Stima dei soprassuoli</t>
  </si>
  <si>
    <t>Stima dei danni derivanti da avversità atmosferiche, fitopatie, epizozie, ecc.</t>
  </si>
  <si>
    <t>Stima dei danni da eventi accidentali ed incidentali</t>
  </si>
  <si>
    <t>Stima dei danni ambientali</t>
  </si>
  <si>
    <t>Stima delle riserve</t>
  </si>
  <si>
    <t>Stima delle cave  e miniere</t>
  </si>
  <si>
    <t>Determinazione di valori locativi</t>
  </si>
  <si>
    <t>Redazione dei Bilanci aziendali</t>
  </si>
  <si>
    <t>Redazione dei Piani di impresa o dei Business plan</t>
  </si>
  <si>
    <t>Studi di fattibilità tecnico-economica</t>
  </si>
  <si>
    <t>Redazione degli Inventari per azienda agrarie, zootecniche o ad ordinamento diversificato</t>
  </si>
  <si>
    <t>Redazione Inventari di imprese di trasformazione agroalimentare ed ambientali</t>
  </si>
  <si>
    <t>Piani di investimento per l'accesso a finanziamenti bancari</t>
  </si>
  <si>
    <t>Piani di investimento per l'accesso a contributi comunitari</t>
  </si>
  <si>
    <t>D</t>
  </si>
  <si>
    <t xml:space="preserve">AREA DELLA CONSULENZA ED ASSISTENZA TECNICA ED AMMINISTRATIVA - RICERCHE E STATISTICHE </t>
  </si>
  <si>
    <t>Assistenza tecnica, economica e fiscale</t>
  </si>
  <si>
    <t>Curatela aziendale</t>
  </si>
  <si>
    <t>Consulenze in genere in materia di politica agraria, ambientale o energetica;</t>
  </si>
  <si>
    <t>Consulenza curatela e amministrazione di aziende agricole, forestali e agro-industriali</t>
  </si>
  <si>
    <t>Consulenza per aziende agricole e/o forestali</t>
  </si>
  <si>
    <t>Consulenza per azienda agro-industriali</t>
  </si>
  <si>
    <t xml:space="preserve">Consulenza per aziende ad ordinamento composito </t>
  </si>
  <si>
    <t>Consulenza per aziende condotte con forma associativa</t>
  </si>
  <si>
    <t>Consulenza per aziende in via di trasformazione</t>
  </si>
  <si>
    <t>Consulenza sui progetti divisionali già eseguiti</t>
  </si>
  <si>
    <t>Consulenza su perizie o stime già eseguite</t>
  </si>
  <si>
    <t>Consulenze e pareri e studi nel settore dell’ecologia, della difesa ambientale e della natura, della difesa delle piante e dei loro prodotti, idrogeologia, nivologia e assestamento faunistica;</t>
  </si>
  <si>
    <t xml:space="preserve">Consulenza dei contesti normativi </t>
  </si>
  <si>
    <t>Consulenza sugli assetti societari e sulle forme di cooperazione</t>
  </si>
  <si>
    <t>Consulenze per lo sviluppo di tecnologie informatiche (sviluppo di programmi, pagine web, creazione di banche dati, ecc.) inerenti le attività professionali;</t>
  </si>
  <si>
    <t>Predisposizione e curatela delle successioni</t>
  </si>
  <si>
    <t>Predisposizione e curatela del Fascicolo aziendale e delle relative procedure gestionali</t>
  </si>
  <si>
    <t>Predisposizione e curatela del fascicolo per il rilascio di autorizzazioni, permessi, scia, dia, ecc.</t>
  </si>
  <si>
    <t>Predisposizione e curatela del fascicolo per il rilascio di VAS - VIA -AIA</t>
  </si>
  <si>
    <t>Relazioni tecnico-economiche relative a lavori di miglioramento agrario, trasformazioni fondiarie e bonifiche di aziende agrarie, non comprese nei piani di studio completi di trasformazione;</t>
  </si>
  <si>
    <t>Relazioni, verbali, certificazioni, annotazioni probatorie autenticate, ricorsi, istanze, reclami, pareri scritti ed orali, particolari ricerche di documenti e particolari esami di incarti e di progetto;</t>
  </si>
  <si>
    <t>Stipulazione di contratti speciali trattative per forniture continuative, senza carattere di mediazione, stipulazioni di convenzioni per servitù, diritti d’acqua, transazione, costituzioni di società;</t>
  </si>
  <si>
    <t>Compilazione delle tabelle dei valori millesimali negli edifici in condominio e riparto per stabilire le quote a carico degli immobili per i contributi di bonifica, di irrigazione, di utenze stradali, ecc.;</t>
  </si>
  <si>
    <t>Arbitrato e Conciliazione</t>
  </si>
  <si>
    <t>Liquidazione di aziende</t>
  </si>
  <si>
    <t>Consulenza e patrocinio tributario ed al contenzioso</t>
  </si>
  <si>
    <t xml:space="preserve">Ricerche agricole e/o agro-industriali, nelle bioenergie, all'innovazione e sviluppo dei settori di competenza, la statistica, le ricerche di mercato, le attività relative agli assetti societari, alla cooperazione ed all'aggregazione di reti di impresa nel settore agricolo, agroalimentare, ambientale, energetico e forestale; </t>
  </si>
  <si>
    <t>Statistiche, ricerche di mercato, ricerche storiche e sociologiche;</t>
  </si>
  <si>
    <t>Analisi SWOT</t>
  </si>
  <si>
    <t>AREA DELLE ANALISI, VALUTAZIONE, CERTIFICAZIONE DEI PRODOTTI AGROALIMENTARI E FITOIATRICA</t>
  </si>
  <si>
    <t xml:space="preserve">Analisi chimico-fisica de prodotti agro-alimentari </t>
  </si>
  <si>
    <t>Analisi chimico-fisica dei mezzi di produzione</t>
  </si>
  <si>
    <t>Analisi e valutazione dei residui dei processi di trasformazione e degli effluenti zootecnici</t>
  </si>
  <si>
    <t>Analisi e valutazione biologica dei prodotti agricoli ed agroalimentari</t>
  </si>
  <si>
    <t>Analisi e valutazione dei prodotti agricoli ed agroalimetari - OGM -</t>
  </si>
  <si>
    <t>Analisi sensoriale dei prodotti agroalimentari</t>
  </si>
  <si>
    <t>Valutazione e classificazione della commerciabilità dei prodotti</t>
  </si>
  <si>
    <t>Consulenza aziendale (audit) per l’implementazione dei Sistemi di Qualità e Sistemi di Gestione Ambientale per aziende e industrie agroalimentari e per industrie fornitrici di aziende agroalimentari</t>
  </si>
  <si>
    <t>Redazione di disciplinari di produzione per la certificazione dei prodotti di qualità regolamentata e non</t>
  </si>
  <si>
    <t>Valutatore dei Sistemi di qualità per Enti di Certificazione</t>
  </si>
  <si>
    <t>Valutatore dei sistemi di gestione ambientale per Enti di Certificazione</t>
  </si>
  <si>
    <t>Redazione dell'atto fitoiatrico</t>
  </si>
  <si>
    <t>AREA DELLA PROGETTAZIONE EDILIZIA, AGRITURISTICA, TECNOLOGICA ED INFRASTRUTTURALE</t>
  </si>
  <si>
    <t xml:space="preserve">Progetti edilizia rurale </t>
  </si>
  <si>
    <t xml:space="preserve">Progetti edilizia urbana </t>
  </si>
  <si>
    <t>Progetti di impianti di trasformazione agroalimentare</t>
  </si>
  <si>
    <t>Progetti degli impianti tecnologici</t>
  </si>
  <si>
    <t>Progetti di impianti per produzione di energia da fonti rinnovabili</t>
  </si>
  <si>
    <t>Progetti di infrastrutture per la distrubuzione di energia nelle diverse forme</t>
  </si>
  <si>
    <t>Progetti stradali e di piste forestali</t>
  </si>
  <si>
    <t>Progetti di opere antivalanga e paramassi</t>
  </si>
  <si>
    <t>Progetti di piste da sci ed opere connesse</t>
  </si>
  <si>
    <t>Progetti di opere ed impianti idraulici</t>
  </si>
  <si>
    <t>Progetti di acquedotti</t>
  </si>
  <si>
    <t>Progetti di laghetti collinari o di provviste d'acqua</t>
  </si>
  <si>
    <t>Progetti di acquacoltura</t>
  </si>
  <si>
    <t>Progetti di lavori in terra</t>
  </si>
  <si>
    <t>Progettazione agrituristica e turismo rurale</t>
  </si>
  <si>
    <t xml:space="preserve">Contabilità dei lavori </t>
  </si>
  <si>
    <t>Computo metrico estimativo e quadri economici</t>
  </si>
  <si>
    <t>Direzione dei lavori</t>
  </si>
  <si>
    <t>AREA DELLA PROGETTAZIONE AMBIENTALE, FORESTALE, NATURALISTICA E PAESAGGISTICA</t>
  </si>
  <si>
    <t>Progetti per lavori ambientali e di ingegneria naturalistica</t>
  </si>
  <si>
    <t xml:space="preserve">Progetti di rimboschimento </t>
  </si>
  <si>
    <t>Progetti di taglio o di utilizzazione forestale</t>
  </si>
  <si>
    <t>Progetti di ricostituzione, di conversione, di trasformazione, di miglioramento di complessi forestali;</t>
  </si>
  <si>
    <t xml:space="preserve">Progetti per attrezzature e mezzi per l’utilizzazione e l’esbosco dei materiali legnosi; </t>
  </si>
  <si>
    <t>Progetti per la difesa contro gli incendi boschivi;</t>
  </si>
  <si>
    <t>Progetto di impianto e miglioramento dei pascoli;</t>
  </si>
  <si>
    <t>Progetto per piani di sfruttamento di cave e miniere  a cielo aperto.</t>
  </si>
  <si>
    <t xml:space="preserve">Progetti recupero e/o riqualificazione ambientale e paesaggistica </t>
  </si>
  <si>
    <t xml:space="preserve">Progetti di verde specializzato su piccola o grande scala </t>
  </si>
  <si>
    <t>Progetti di verde generali su piccola  e grande scala</t>
  </si>
  <si>
    <t xml:space="preserve">Progetti di sistemazione idraulico-forestale </t>
  </si>
  <si>
    <t>Progetti d'area per la valorizzazione del paesaggio</t>
  </si>
  <si>
    <t xml:space="preserve">Progetti di impianti, strutture ed attrezzature per l’attività sportiva e ricreativa. </t>
  </si>
  <si>
    <t>Progetti di miglioramenti agrari in generale</t>
  </si>
  <si>
    <t>Progettazione delle opere di bonifica, di irrigazione , regimazione delle acque, difesa idrogeologica e conservazione del suolo, sistemazione idraulico-forestale;</t>
  </si>
  <si>
    <t>Progettazione  integrata territoriale</t>
  </si>
  <si>
    <t>Progetti di filiera</t>
  </si>
  <si>
    <t>AREA DELLA PIANIFICAZIONE TERRITORIALE, RURALE, FORESTALE, AMBIENTALE, URBANISTICA E PAESAGGISTICA</t>
  </si>
  <si>
    <t>Piani urbanistici dei villaggi rurali come definiti dall'ocse</t>
  </si>
  <si>
    <t xml:space="preserve">Piani territoriali </t>
  </si>
  <si>
    <t>Piani paesaggistici</t>
  </si>
  <si>
    <t>Piani di trasformazione fondiaria</t>
  </si>
  <si>
    <t>Piani generali di bonifica</t>
  </si>
  <si>
    <t>Piani delle infrastrutture rurali</t>
  </si>
  <si>
    <t>Piani di gestione forestale</t>
  </si>
  <si>
    <t>Piani di gestione dei siti di interesse comunitario o dei Parchi naturali</t>
  </si>
  <si>
    <t>Piani energetici relativi all'utilizzo di biomasse su scala territoriale</t>
  </si>
  <si>
    <t>Piani agrituristici</t>
  </si>
  <si>
    <t>Programmi di  sviluppo locale</t>
  </si>
  <si>
    <t>Programmi di sviluppo rurale</t>
  </si>
  <si>
    <t>Piani di gestione verde su scala comunale o intercomunale</t>
  </si>
  <si>
    <t>AREA DELLA PIANIFICAZIONE AZIENDALE ED INTERAZIENDALE</t>
  </si>
  <si>
    <t>Piani di concimazione e di utilizzazione agronomica, ammendanti e correttivi, piani di smaltimento dei reflui riutilizzo degli residui vegetali di provenienza industriale.</t>
  </si>
  <si>
    <t>Piani di prevenzione e di intervento a difesa delle colture</t>
  </si>
  <si>
    <t>Piani di miglioramento fondiario e piani organici aziendali</t>
  </si>
  <si>
    <t>Piani energetici interaziendali</t>
  </si>
  <si>
    <t xml:space="preserve">Piani attuativi </t>
  </si>
  <si>
    <t xml:space="preserve">Piani particolareggiati </t>
  </si>
  <si>
    <t>AREA DEI MONITORAGGI AMBIENTALI, FITOIATRICI, NATURALISTICI E FAUNISTICI</t>
  </si>
  <si>
    <t>Monitoraggio ambientali preliminari finalizzazti all'individuazione degli indicatori ambientali</t>
  </si>
  <si>
    <t>Monitoraggio ambientale in fase di gestione dell'opera soggette a VAS o VIA</t>
  </si>
  <si>
    <t>Monitoraggio ambientale in fase di gestione dell'attività produttiva</t>
  </si>
  <si>
    <t>Monitoraggio naturalistico degli ecosistemi</t>
  </si>
  <si>
    <t>Monitoraggio fitoiatrico delle colture e degli ambienti urbani e rurali</t>
  </si>
  <si>
    <t xml:space="preserve">Monitoraggio faunistico </t>
  </si>
  <si>
    <t>AREA DELLE VALUTAZIONI AMBIENTALI, PAESAGGISTICHE E NATURALISTICHE</t>
  </si>
  <si>
    <t>Studi di V.I.A</t>
  </si>
  <si>
    <t>Studi di V.A.S per piani regolatori comunali o intercomunali</t>
  </si>
  <si>
    <t>Studi di V.A.S  per piani attuativi</t>
  </si>
  <si>
    <t>Studi di V.A.S per piani di assestamento forestale</t>
  </si>
  <si>
    <t>Studi di V.A.S per piani e programmi</t>
  </si>
  <si>
    <t xml:space="preserve">Studi di A.I.A </t>
  </si>
  <si>
    <t>Studi di V.INC.A. per piani regolatori comunali o intercomunali</t>
  </si>
  <si>
    <t>Studi di V.INC.A.  per la realizzazione di opere</t>
  </si>
  <si>
    <t>Studi di V.INC.A. per piani di assestamento forestale</t>
  </si>
  <si>
    <t>Valutazioni di beni paesaggisitici, ambientali e territoriali</t>
  </si>
  <si>
    <t>Valutazione costi - benefici e multicriteria</t>
  </si>
  <si>
    <t>Valutazione delle condizioni vegetative, fitosanitarie e di stabilità degli alberi</t>
  </si>
  <si>
    <t>N</t>
  </si>
  <si>
    <t xml:space="preserve">AREA DEI COLLAUDI </t>
  </si>
  <si>
    <t>AREA DELLA PIANIFICAZIONE, PROGETTAZIONE E GESTIONE DELLA SICUREZZA DEI LUOGHI LAVORO</t>
  </si>
  <si>
    <t>Redazione del documento sulla sicurezza dei luoghi di lavoro</t>
  </si>
  <si>
    <t xml:space="preserve">Piani di sicurezza </t>
  </si>
  <si>
    <t>Coordinatore della sicurezza in fase esecutiva</t>
  </si>
  <si>
    <t>Responsabile della sicurezza</t>
  </si>
  <si>
    <t>€</t>
  </si>
  <si>
    <t>Classe di rischo</t>
  </si>
  <si>
    <t>Numero delle prestazioni</t>
  </si>
  <si>
    <t>%</t>
  </si>
  <si>
    <t>Definizione delle classi di Rischio</t>
  </si>
  <si>
    <t>% di rischio della prestazione professionale</t>
  </si>
  <si>
    <t xml:space="preserve">Definizione </t>
  </si>
  <si>
    <t>Descrizione</t>
  </si>
  <si>
    <t>Classe</t>
  </si>
  <si>
    <t>Rischio Basso</t>
  </si>
  <si>
    <t>Rischo medio</t>
  </si>
  <si>
    <t>Attività professionale relative a prestazioni professionali inerenti rilievi o studi fascicoli propedeutici alla pianificazione o progettazione o ad altre attività successive, comunque non direttamente responsabili di decisioni finali</t>
  </si>
  <si>
    <t>Attività professionale relative a prestazioni professionali inerentile attività di consulenza</t>
  </si>
  <si>
    <t>Rischo medio-alto</t>
  </si>
  <si>
    <t xml:space="preserve">Rischio alto </t>
  </si>
  <si>
    <t>Attività professionale relative a prestazioni professionali relative a a pianificazioni, progettazione, valutazione ed altre prestazioni che incidono direttamente sulle decisioni finali</t>
  </si>
  <si>
    <t>Attività professionale relative a prestazioni professionali inerenti lavori professionali relativi alla sicurezza dei lughi di lavoro o collaudi di opere o di investimenti.</t>
  </si>
  <si>
    <t>*</t>
  </si>
  <si>
    <t>QaIII.01</t>
  </si>
  <si>
    <t>QaIV.6</t>
  </si>
  <si>
    <t>a.III)</t>
  </si>
  <si>
    <t>QaIII.03</t>
  </si>
  <si>
    <t>QaIII.02</t>
  </si>
  <si>
    <t>a.II)</t>
  </si>
  <si>
    <t>QaII.01-QaII.03</t>
  </si>
  <si>
    <t>QaV.2</t>
  </si>
  <si>
    <t>QaV.1</t>
  </si>
  <si>
    <t>QaIV.7</t>
  </si>
  <si>
    <t>QaIV.1</t>
  </si>
  <si>
    <t>QaIV.8</t>
  </si>
  <si>
    <t>QaV.3</t>
  </si>
  <si>
    <t>QaIV.2</t>
  </si>
  <si>
    <t>QaIV.9</t>
  </si>
  <si>
    <t>QaIV.10</t>
  </si>
  <si>
    <t>QaIV.4</t>
  </si>
  <si>
    <t>QaIV.5</t>
  </si>
  <si>
    <t>QaIV.3</t>
  </si>
  <si>
    <t>Qdl.03</t>
  </si>
  <si>
    <t>QcII.3</t>
  </si>
  <si>
    <t>QcII.2</t>
  </si>
  <si>
    <t>QaIII.04</t>
  </si>
  <si>
    <t>QaIII.05</t>
  </si>
  <si>
    <t>a.I)-b.I)-b.II)b.III)-c.I)*</t>
  </si>
  <si>
    <t>a.I)-b.I)-b.II)b.III)-c.I)</t>
  </si>
  <si>
    <t>QbIV.04</t>
  </si>
  <si>
    <t>QbIV.05</t>
  </si>
  <si>
    <t>QbIV.01</t>
  </si>
  <si>
    <t>QbIV.02</t>
  </si>
  <si>
    <t>QbIV.03</t>
  </si>
  <si>
    <t>QbII.24</t>
  </si>
  <si>
    <t>QcII.1</t>
  </si>
  <si>
    <t>QbII.21</t>
  </si>
  <si>
    <t>d.I)</t>
  </si>
  <si>
    <t>Qdl.01</t>
  </si>
  <si>
    <t>Qdl.05</t>
  </si>
  <si>
    <t>Qdl.04</t>
  </si>
  <si>
    <t>Qdl.02</t>
  </si>
  <si>
    <t>Qdl.06</t>
  </si>
  <si>
    <t>QbII.20</t>
  </si>
  <si>
    <t>QbI.15-QbII.21</t>
  </si>
  <si>
    <t>Qcl.12</t>
  </si>
  <si>
    <t>AREA/PRESTAZIONE</t>
  </si>
  <si>
    <t>Stima degli usi civici</t>
  </si>
  <si>
    <t>Consulenza per l'impianto di contabilità agraria o agroindustriale;</t>
  </si>
  <si>
    <t>Predisposizione e curatela del Fascicolo di domanda per l'accesso ai contributi comunitari e nazionali e regionali</t>
  </si>
  <si>
    <t xml:space="preserve">Progetto integrato paesaggistico </t>
  </si>
  <si>
    <t>Piani di gestione faunistici</t>
  </si>
  <si>
    <t>Piani faunisitici aziendali o territoriali su piccola e media scala</t>
  </si>
  <si>
    <t>Collaudatore tecnico amministrativo</t>
  </si>
  <si>
    <t>**</t>
  </si>
  <si>
    <t>Collaudi tecnico funzionale</t>
  </si>
  <si>
    <t>Collaudo statico</t>
  </si>
  <si>
    <t>Revisione tecnico contabile</t>
  </si>
  <si>
    <t>Attestazione di certificazione energetica - attestato di collaudo e certificazione della qualità</t>
  </si>
  <si>
    <t>Il compenso è determinato secondo la tabella del dm 140/2012 ed è al netto delle spese. In sede di prima applicazione possono essere inserite le voci unitarie del fatturato, al netto delle spese, dell'anno precedente il periodo di validità della polizza riconducibili ad ogni prestazione prevista dal Regolamento.</t>
  </si>
  <si>
    <t>Valore di rischio dell'attività professionale ai fini del calcolo del contributo assicurativo</t>
  </si>
  <si>
    <r>
      <t>Codice Parametri</t>
    </r>
    <r>
      <rPr>
        <b/>
        <sz val="16"/>
        <color indexed="8"/>
        <rFont val="Calibri"/>
        <family val="2"/>
      </rPr>
      <t>*</t>
    </r>
  </si>
  <si>
    <r>
      <t>Codice Competenza</t>
    </r>
    <r>
      <rPr>
        <b/>
        <sz val="16"/>
        <color indexed="8"/>
        <rFont val="Calibri"/>
        <family val="2"/>
      </rPr>
      <t>**</t>
    </r>
  </si>
  <si>
    <r>
      <t>Compenso della Prestazione professionale secondo i parametri di cui al DM 140/2012</t>
    </r>
    <r>
      <rPr>
        <b/>
        <sz val="24"/>
        <color indexed="8"/>
        <rFont val="Calibri"/>
        <family val="2"/>
      </rPr>
      <t>***</t>
    </r>
  </si>
  <si>
    <t>Competenze professionali</t>
  </si>
  <si>
    <t>Dottore Agronomo e Dottore Forestale</t>
  </si>
  <si>
    <t>Codice</t>
  </si>
  <si>
    <t xml:space="preserve">Norma di riferimento </t>
  </si>
  <si>
    <t>Competenza</t>
  </si>
  <si>
    <t>CDAF1</t>
  </si>
  <si>
    <t>L. 3/76 come modificata dalla L. 152/92 - art. 2 - comma 1 -lettera a</t>
  </si>
  <si>
    <t>la direzione, l'amministrazione, la gestione, la contabilità la curatela e la consulenza, singola o di gruppo, di imprese agrarie, zootecniche e forestali e delle industrie per l'utilizzazione, la trasformazione e la commercializzazione dei relativi prodotti;</t>
  </si>
  <si>
    <t>CDAF2</t>
  </si>
  <si>
    <t>L. 3/76 come modificata dalla L. 152/92 - art. 2 - comma 1 -lettera b</t>
  </si>
  <si>
    <t>lo studio, la progettazione, la direzione, la sorveglianza, la liquidazione, la misura, la stima, la contabilità e il collaudo delle opere di trasformazione e di miglioramento fondiario, nonché delle opere di bonifica e delle opere di sistemazione idraulica e forestale, di utilizzazione e regimazione delle acque e di difesa e conservazione del suolo agrario, sempreché queste ultime, per la loro natura prevalentemente extra-agricola o per le diverse implicazioni professionali non richiedano anche la specifica competenza di professionisti di altra estrazione;</t>
  </si>
  <si>
    <t>CDAF3</t>
  </si>
  <si>
    <t>L. 3/76 come modificata dalla L. 152/92 - art. 2 - comma 1 -lettera c</t>
  </si>
  <si>
    <t>lo studio, la progettazione, la direzione, la sorveglianza, la liquidazione, la misura, la stima, la contabilità e il collaudo di opere inerenti ai rimboschimenti, alle utilizzazioni forestali, alle piste da sci ed attrezzature connesse, alla conservazione della natura, alla tutela del paesaggio ed all'assestamento forestale;</t>
  </si>
  <si>
    <t>CDAF4</t>
  </si>
  <si>
    <t>L. 3/76 come modificata dalla L. 152/92 - art. 2 - comma 1 -lettera d</t>
  </si>
  <si>
    <t>la progettazione, la direzione, la sorveglianza, la liquidazione, la misura, la stima, la contabilità ed il collaudo, compresa la certificazione statica ed antincendio, dei lavori relativi alle costruzioni rurali e di quelli attinenti alle industrie agrarie e forestali, anche se iscritte al catasto edilizio urbano ai sensi dell'art. 1, comma 5, del decreto-legge 27 aprile 1990, n. 90, convertito, con modificazioni, dalla legge 26 giugno 1990, n. 165, nonché dei lavori relativi alle opere idrauliche e stradali di prevalente interesse agrario e forestale ed all'ambiente rurale, ivi compresi gli invasi artificiali che non rientrano nelle competenze del servizio dighe del Ministero dei lavori pubblici;</t>
  </si>
  <si>
    <t>CDAF5</t>
  </si>
  <si>
    <t>L. 3/76 come modificata dalla L. 152/92 - art. 2 - comma 1 -lettera e</t>
  </si>
  <si>
    <t>tutte le operazioni dell'estimo in generale e, in particolare, la stima e i rilievi relativi a beni fondiari, capitali agrari, produzioni animali e vegetali dirette o derivate, mezzi di produzione, acque, danni, espropriazioni, servitù nelle imprese agrarie, zootecniche e forestali e nelle industrie per l'utilizzazione, la trasformazione e la commercializzazione dei relativi prodotti;</t>
  </si>
  <si>
    <t>CDAF6</t>
  </si>
  <si>
    <t>L. 3/76 come modificata dalla L. 152/92 - art. 2 - comma 1 -lettera f</t>
  </si>
  <si>
    <t>la contabilità, gli inventari e quant'altro attiene alla amministrazione delle aziende e imprese agrarie, zootecniche e forestali o di trasformazione e commercializzazione dei relativi prodotti e all'amministrazione delle associazioni di produttori, nonché le consegne e riconsegne di fondi rustici;</t>
  </si>
  <si>
    <t>CDAF7</t>
  </si>
  <si>
    <t>L. 3/76 come modificata dalla L. 152/92 - art. 2 - comma 1 -lettera g</t>
  </si>
  <si>
    <t>l'accertamento di qualità e quantità delle produzioni agricole, zootecniche e forestali e delle relative industrie, anche in applicazione della normativa comunitaria, nazionale e regionale;</t>
  </si>
  <si>
    <t>CDAF8</t>
  </si>
  <si>
    <t>L. 3/76 come modificata dalla L. 152/92 - art. 2 - comma 1 -lettera h</t>
  </si>
  <si>
    <t>la meccanizzazione agrario-forestale e la relativa attività di sperimentazione e controllo nel settore applicativo;</t>
  </si>
  <si>
    <t>CDAF9</t>
  </si>
  <si>
    <t>L. 3/76 come modificata dalla L. 152/92 - art. 2 - comma 1 -lettera i</t>
  </si>
  <si>
    <t>i lavori e gli incarichi riguardanti la coltivazione delle piante, la difesa fitoiatrica, l'alimentazione e l'allevamento degli animali, nonché  la conservazione, il commercio, l'utilizzazione e la trasformazione dei relativi prodotti;</t>
  </si>
  <si>
    <t>CDAF10</t>
  </si>
  <si>
    <t>L. 3/76 come modificata dalla L. 152/92 - art. 2 - comma 1 -lettera l</t>
  </si>
  <si>
    <t>lo studio, la progettazione, la direzione, la sorveglianza, la liquidazione, la misura, la stima, la contabilità ed il collaudo dei lavori relativi alla tutela del suolo, delle acque e dell'atmosfera, ivi compresi i piani per lo sfruttamento ed il recupero di torbiere e di cave a cielo aperto, le opere attinenti all'utilizzazione ed allo smaltimento sul suolo agricolo di sottoprodotti agro-industriali e di rifiuti urbani, nonché la realizzazione di barriere vegetali antirumore;</t>
  </si>
  <si>
    <t>CDAF11</t>
  </si>
  <si>
    <t>L. 3/76 come modificata dalla L. 152/92 - art. 2 - comma 1 -lettera m</t>
  </si>
  <si>
    <t>i lavori catastali, topogratici e cartografici sia per il catasto rustico che per il catasto urbano;</t>
  </si>
  <si>
    <t>CDAF12</t>
  </si>
  <si>
    <t>L. 3/76 come modificata dalla L. 152/92 - art. 2 - comma 1 -lettera n</t>
  </si>
  <si>
    <t>la valutazione per la liquidazione degli usi civici e l'assistenza della parte nella stipulazione di contratti individuali e collettivi nelle materie di competenza;</t>
  </si>
  <si>
    <t>CDAF13</t>
  </si>
  <si>
    <t>L. 3/76 come modificata dalla L. 152/92 - art. 2 - comma 1 -lettera o</t>
  </si>
  <si>
    <t>le analisi fisico-chimico-microbiologiche del suolo, i mezzi di produzione e dei prodotti agricoli,  zootecnici e forestali e le analisi, anche organolettiche, dei prodotti agro-industriali e l'interpretazione delle stesse;</t>
  </si>
  <si>
    <t>CDAF14</t>
  </si>
  <si>
    <t>L. 3/76 come modificata dalla L. 152/92 - art. 2 - comma 1 -lettera p</t>
  </si>
  <si>
    <t>la statistica, le ricerche di mercato, il marketing, le attività  relative alla cooperazione agricolo forestale, alla industria di trasformazione dei prodotti agricoli, zootecnici e forestali ed alla loro commercializzazione, anche organizzata in associazioni di produttori, in cooperative e in consorzi;</t>
  </si>
  <si>
    <t>CDAF15</t>
  </si>
  <si>
    <t>L. 3/76 come modificata dalla L. 152/92 - art. 2 - comma 1 -lettera q</t>
  </si>
  <si>
    <t>gli studi di assetto territoriale ed i piani zonali, urbanistici e paesaggistici; la programmazione, per quanto attiene alle componenti agricolo-forestali ed ai rapporti città-campagna; i piani di sviluppo di settore e la redazione nei piani regolatori di specifici studi per la classificazione del territorio rurale, agricolo e forestale;</t>
  </si>
  <si>
    <t>CDAF16</t>
  </si>
  <si>
    <t>L. 3/76 come modificata dalla L. 152/92 - art. 2 - comma 1 -lettera r</t>
  </si>
  <si>
    <t>lo studio, la progettazione, la direzione, la sorveglianza, la misura, la stima, la contabilità ed il collaudo di lavori inerenti alla pianificazione territoriale ed ai piani ecologici per la tutela dell'ambiente; la valutazione di impatto ambientale ed il successivo monitoraggio per quanto attiene agli effetti sulla flora e la fauna; i piani paesaggistici e ambientali per lo sviluppo degli ambiti naturali, urbani ed extraurbani; i piani ecologici e i rilevamenti del patrimonio agricolo e forestale;</t>
  </si>
  <si>
    <t>CDAF17</t>
  </si>
  <si>
    <t>L. 3/76 come modificata dalla L. 152/92 - art. 2 - comma 1 -lettera s</t>
  </si>
  <si>
    <t>lo studio, la progettazione, la direzione, la sorveglianza, la misura, la stima, la contabilita' ed il collaudo di lavori inerenti alla valutazione delle risorse idriche ed ai piani per la loro utilizzazione sia a scopo irriguo che per le necessità  di approvvigionamento nel territorio rurale;</t>
  </si>
  <si>
    <t>CDAF18</t>
  </si>
  <si>
    <t>L. 3/76 come modificata dalla L. 152/92 - art. 2 - comma 1 -lettera t</t>
  </si>
  <si>
    <r>
      <t xml:space="preserve">lo studio, la progettazione, la direzione e il collaudo di interventi e </t>
    </r>
    <r>
      <rPr>
        <i/>
        <sz val="10"/>
        <color indexed="8"/>
        <rFont val="Calibri"/>
        <family val="2"/>
      </rPr>
      <t>di piani agrituristici e di acquacoltura</t>
    </r>
    <r>
      <rPr>
        <sz val="10"/>
        <color indexed="8"/>
        <rFont val="Calibri"/>
        <family val="2"/>
      </rPr>
      <t>;</t>
    </r>
  </si>
  <si>
    <t>CDAF19</t>
  </si>
  <si>
    <t>L. 3/76 come modificata dalla L. 152/92 - art. 2 - comma 1 -lettera u</t>
  </si>
  <si>
    <t>la progettazione e la direzione dei lavori di costruzioni rurali in zone sismiche di cui agli articoli 17 e l8 della legge 2 febbraio 1974, n. 64;</t>
  </si>
  <si>
    <t>CDAF20</t>
  </si>
  <si>
    <t>L. 3/76 come modificata dalla L. 152/92 - art. 2 - comma 1 -lettera v</t>
  </si>
  <si>
    <t>la progettazione, la direzione, la sorveglianza, la liquidazione, la misura, la contabilità ed il  collaudo di lavori relativi al verde pubblico, anche sportivo, e privato, ai parchi naturali urbani e extraurbani, nonché ai giardini e alle opere a verde in generale;</t>
  </si>
  <si>
    <t>CDAF21</t>
  </si>
  <si>
    <t>L. 3/76 come modificata dalla L. 152/92 - art. 2 - comma 1 -lettera z</t>
  </si>
  <si>
    <t>il recupero paesaggistico e naturalistico; la conservazione di territori rurali, agricoli e forestali; ilrecupero di cave e discariche nonché di ambienti naturali;</t>
  </si>
  <si>
    <t>CDAF22</t>
  </si>
  <si>
    <t>L. 3/76 come modificata dalla L. 152/92 - art. 2 - comma 1 -lettera aa</t>
  </si>
  <si>
    <t>le funzioni peritali e di arbitrato in ordine alle attribuzioni indicate nelle lettere precedenti;</t>
  </si>
  <si>
    <t>CDAF23</t>
  </si>
  <si>
    <t>L. 3/76 come modificata dalla L. 152/92 - art. 2 - comma 1 -lettera bb</t>
  </si>
  <si>
    <t>l'assistenza e la rappresentanza in materia tributaria e le operazioni riguardanti il credito e il contenzioso tributario attinenti alle materie indicate nelle lettere precedenti;</t>
  </si>
  <si>
    <t>CDAF24</t>
  </si>
  <si>
    <t>L. 3/76 come modificata dalla L. 152/92 - art. 2 - comma 1 -lettera cc</t>
  </si>
  <si>
    <t>le attività, le operazioni e le attribuzioni comuni con altre categorie professionali ed in particolare quelle richiamate nell'art. 19 del regio decreto 11 febbraio 1929, n. 274, ivi comprese quelle elencate sotto le lettere a), d), f), m), n) dell'art. 16 del medesimo regio decreto n. 274 del 1929 e quelle di cui all'art. 1 del regio decreto 16 novembre 1939, n. 2229, ed agli articoli 1 e 2 della legge 5 novembre 1971, n. 1086, nei limiti delle competenze dei geometri.</t>
  </si>
  <si>
    <t>CDAF25</t>
  </si>
  <si>
    <t>L. 3/76 come modificata dalla L. 152/92 - art. 2 - comma 2</t>
  </si>
  <si>
    <t>I dottori agronomi e i dottori forestali hanno la facoltà di svolgere le attività  di cui al comma 1 anche in settori diversi da quelli ivi indicati quando siano connesse o dipendenti da studi o lavori di loro specifica competenza.</t>
  </si>
  <si>
    <t>CDAF26</t>
  </si>
  <si>
    <t>L. 3/76 come modificata dalla L. 152/92 - art. 2 - comma 3</t>
  </si>
  <si>
    <t>Per gli incarichi di notevole complessità  sono ammessi i lavori di gruppo, formato da più professionisti, se necessario ed opportuno anche di categorie professionali diverse, responsabili con firma congiunta. Sono di norma da espletare in collaborazione di gruppo interdisciplinare gli incarichi relativi alle bonifiche con impianti idraulici di notevole portata, quelli relativi alla difesa del suolo ed alla regimazione delle acque se attuate con strutture complesse e su aree di notevole estensione, nonché  gli incarichi relativi alla pianificazione che non sia limitata all'aspetto agricolo e rurale, con particolare riguardo ai piani regolatori generali ed ai programmi di fabbricazione.</t>
  </si>
  <si>
    <t>CDAF27</t>
  </si>
  <si>
    <t>L. 3/76 come modificata dalla L. 152/92 - art. 2 - comma 4</t>
  </si>
  <si>
    <t>L'elencazione di cui al comma 1 non pregiudica l'esercizio di ogni altra attività  professionale dei dottori agronomi e dei dottori forestali, ne' di quanto può  formare oggetto dell'attività professionale di altre categorie a norma di leggi e regolamenti.".</t>
  </si>
  <si>
    <t>DPR 328/2011 - Art. 11</t>
  </si>
  <si>
    <r>
      <t xml:space="preserve">1. </t>
    </r>
    <r>
      <rPr>
        <b/>
        <sz val="10"/>
        <color indexed="8"/>
        <rFont val="Calibri"/>
        <family val="2"/>
      </rPr>
      <t>Formano oggetto dell'attività professionale degli iscritti alla sezione A, ai sensi e per gli effetti di cui all'articolo 1, comma 2, restando immutate le riserve e attribuzioni già stabilite dalla vigente normativa, oltre alle attività indicate nei commi 2, 3 e 4, le altre  legge 10 febbraio 1992, n. 152.attività previste dall'articolo 2 della Legge 3 del 1976</t>
    </r>
  </si>
  <si>
    <t>Agronomo e Forestale junior</t>
  </si>
  <si>
    <t>codice</t>
  </si>
  <si>
    <r>
      <t xml:space="preserve">2. </t>
    </r>
    <r>
      <rPr>
        <sz val="10"/>
        <color indexed="8"/>
        <rFont val="Calibri"/>
        <family val="2"/>
      </rPr>
      <t>Formano oggetto dell'attività professionale degli iscritti alla sezione B, settore agronomo e forestale, ai sensi e per gli effetti di cui all'articolo 1, comma 2, restando immutate le riserve e attribuzioni già stabilite dalla vigente normativa, le seguenti attività:</t>
    </r>
  </si>
  <si>
    <t>CAF01</t>
  </si>
  <si>
    <t>DPR 328/2011 - Art. 11 comma 2 - lettera a</t>
  </si>
  <si>
    <t>la progettazione di elementi dei sistemi agricoli, agroalimentari, zootecnici, forestali ed ambientali;</t>
  </si>
  <si>
    <t>CAF02</t>
  </si>
  <si>
    <t>DPR 328/2011 - Art. 11 comma 2 - lettera b</t>
  </si>
  <si>
    <t>la consulenza nei settori delle produzioni vegetali, animali e silvicolturali, delle trasformazioni alimentari, della commercializzazione dei relativi prodotti, della ristorazione collettiva, dell'agriturismo e del turismo rurale, della difesa dell'ambiente rurale e naturale, della pianificazione del territorio rurale, del verde pubblico e privato, del paesaggio;</t>
  </si>
  <si>
    <t>CAF03</t>
  </si>
  <si>
    <t>DPR 328/2011 - Art. 11 comma 2 - lettera c</t>
  </si>
  <si>
    <t>la collaborazione alla progettazione dei sistemi complessi, agricoli, agroalimentari, zootecnici, forestali ed ambientali;</t>
  </si>
  <si>
    <t>CAF04</t>
  </si>
  <si>
    <t>DPR 328/2011 - Art. 11 comma 2 - lettera d</t>
  </si>
  <si>
    <t>le attività estimative relative alle materie di competenza;</t>
  </si>
  <si>
    <t>CAF05</t>
  </si>
  <si>
    <t>DPR 328/2011 - Art. 11 comma 2 - lettera e</t>
  </si>
  <si>
    <t>le attività catastali, topografiche e cartografiche;</t>
  </si>
  <si>
    <t>CAF06</t>
  </si>
  <si>
    <t>DPR 328/2011 - Art. 11 comma 2 - lettera f</t>
  </si>
  <si>
    <t>le attività di assistenza tecnica, contabile e fiscale alla produzione di beni e mezzi tecnici agricoli, agroalimentari, forestali e della difesa ambientale;</t>
  </si>
  <si>
    <t>CAF07</t>
  </si>
  <si>
    <t>DPR 328/2011 - Art. 11 comma 2 - lettera g</t>
  </si>
  <si>
    <t>il patrocinio nelle commissioni tributarie per le materie di competenza;</t>
  </si>
  <si>
    <t>CAF08</t>
  </si>
  <si>
    <t>DPR 328/2011 - Art. 11 comma 2 - lettera h</t>
  </si>
  <si>
    <t>la certificazione di qualità e le analisi delle produzioni vegetali, animali e forestali sia primarie che trasformate, nonché quella ambientale;</t>
  </si>
  <si>
    <t>CAF09</t>
  </si>
  <si>
    <t>DPR 328/2011 - Art. 11 comma 2 - lettera i</t>
  </si>
  <si>
    <t>le attività di difesa e di recupero dell'ambiente, degli ecosistemi agrari e forestali, la lotta alla desertificazione, nonché la conservazione e valorizzazione della biodiversità vegetale, animale e dei microrganismi.</t>
  </si>
  <si>
    <t>Biotecnologo Agrario</t>
  </si>
  <si>
    <r>
      <t xml:space="preserve">4. </t>
    </r>
    <r>
      <rPr>
        <sz val="10"/>
        <color indexed="8"/>
        <rFont val="Calibri"/>
        <family val="2"/>
      </rPr>
      <t>Formano oggetto dell'attività professionale degli iscritti alla sezione B, settore biotecnologico agrario, ai sensi e per gli effetti di cui all'articolo 1, comma 2, restando immutate le riserve e attribuzioni già stabilite dalla vigente normativa, le seguenti attività:</t>
    </r>
  </si>
  <si>
    <t>CBA01</t>
  </si>
  <si>
    <t>DPR 328/2011 - Art. 11 comma 4 lettera a</t>
  </si>
  <si>
    <t>la consulenza nei settori delle produzioni vegetali ed animali, con particolare riferimento all'impiego corretto di biotecnologie;</t>
  </si>
  <si>
    <t>CBA02</t>
  </si>
  <si>
    <t>DPR 328/2011 - Art. 11 comma 4 lettera b</t>
  </si>
  <si>
    <t>la consulenza per la certificazione della qualità genetica dei prodotti alimentari sia per gli animali che per l'uomo, in particolare per la tracciabilità di organismi geneticamente modificati (OGM) nelle filiere agroalimentari;</t>
  </si>
  <si>
    <t>CBA03</t>
  </si>
  <si>
    <t>DPR 328/2011 - Art. 11 comma 4 lettera c</t>
  </si>
  <si>
    <t>la consulenza nei settori delle tecnologie e trasformazioni alimentari e dei prodotti agricoli non alimentari con particolare riferimento al corretto impiego di biotecnologie;</t>
  </si>
  <si>
    <t>CBA04</t>
  </si>
  <si>
    <t>DPR 328/2011 - Art. 11 comma 4 lettera d</t>
  </si>
  <si>
    <t>la certificazione con l'impiego di biotecnologie innovative della qualità e del controllo nella sanità e provenienza dei prodotti agricoli, compresi quelli per l'alimentazione umana e animale;</t>
  </si>
  <si>
    <t>CBA05</t>
  </si>
  <si>
    <t>DPR 328/2011 - Art. 11 comma 4 lettera e</t>
  </si>
  <si>
    <t>le consulenze relative all'uso di biotecnologie per la certificazione varietale degli organismi vegetali;</t>
  </si>
  <si>
    <t>CBA06</t>
  </si>
  <si>
    <t>DPR 328/2011 - Art. 11 comma 4 lettera f</t>
  </si>
  <si>
    <t>la consulenza per l'uso di biotecnologie innovative per la diagnostica di patologie virali, batteriche e fungine nei vegetali;</t>
  </si>
  <si>
    <t>CBA07</t>
  </si>
  <si>
    <t>DPR 328/2011 - Art. 11 comma 4 lettera g</t>
  </si>
  <si>
    <t>la consulenza per il monitoraggio ambientale in campo agroalimentare, mediante l'uso di tecniche biotecnologiche innovative;</t>
  </si>
  <si>
    <t>CBA08</t>
  </si>
  <si>
    <t>DPR 328/2011 - Art. 11 comma 4 lettera h</t>
  </si>
  <si>
    <t>le attività di assistenza tecnica, contabile e fiscale alla produzione di mezzi tecnici dei settori delle biotecnologie innovative negli ambiti agroalimentari;</t>
  </si>
  <si>
    <t>CBA09</t>
  </si>
  <si>
    <t>DPR 328/2011 - Art. 11 comma 4 lettera i</t>
  </si>
  <si>
    <t>il patrocinio nelle commissioni tributarie per le materie di competenza.</t>
  </si>
  <si>
    <t>Codice Prestazione</t>
  </si>
  <si>
    <t>1.1</t>
  </si>
  <si>
    <t>1.2</t>
  </si>
  <si>
    <t>1.3</t>
  </si>
  <si>
    <t>2.1</t>
  </si>
  <si>
    <t>2.2</t>
  </si>
  <si>
    <t>2.3</t>
  </si>
  <si>
    <t>2.4</t>
  </si>
  <si>
    <t>2.5</t>
  </si>
  <si>
    <t>2.6</t>
  </si>
  <si>
    <t>2.7</t>
  </si>
  <si>
    <t>2.8</t>
  </si>
  <si>
    <t>2.9</t>
  </si>
  <si>
    <t>2.10</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</si>
  <si>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</si>
  <si>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</si>
  <si>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</si>
  <si>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</si>
  <si>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</si>
  <si>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</si>
  <si>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</si>
  <si>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</si>
  <si>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</si>
  <si>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</si>
  <si>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</si>
  <si>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</si>
  <si>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</si>
  <si>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</si>
  <si>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</si>
  <si>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</si>
  <si>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</si>
  <si>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</si>
  <si>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</si>
  <si>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</si>
  <si>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</si>
  <si>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</si>
  <si>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</si>
  <si>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</si>
  <si>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</si>
  <si>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</si>
  <si>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</si>
  <si>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</si>
  <si>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</si>
  <si>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4.1</t>
  </si>
  <si>
    <t>4.2</t>
  </si>
  <si>
    <t>4.3</t>
  </si>
  <si>
    <t>4.4</t>
  </si>
  <si>
    <t>4.5</t>
  </si>
  <si>
    <t>4.6</t>
  </si>
  <si>
    <t>4.7</t>
  </si>
  <si>
    <t>4.8</t>
  </si>
  <si>
    <t>4.9</t>
  </si>
  <si>
    <t>4.10</t>
  </si>
  <si>
    <t>4.11</t>
  </si>
  <si>
    <t>4.12</t>
  </si>
  <si>
    <t>4.13</t>
  </si>
  <si>
    <t>4.14</t>
  </si>
  <si>
    <t>4.15</t>
  </si>
  <si>
    <t>4.16</t>
  </si>
  <si>
    <t>4.17</t>
  </si>
  <si>
    <t>4.18</t>
  </si>
  <si>
    <t>4.19</t>
  </si>
  <si>
    <t>4.20</t>
  </si>
  <si>
    <t>4.21</t>
  </si>
  <si>
    <t>4.22</t>
  </si>
  <si>
    <t>4.23</t>
  </si>
  <si>
    <t>4.24</t>
  </si>
  <si>
    <t>4.25</t>
  </si>
  <si>
    <t>4.26</t>
  </si>
  <si>
    <t>4.27</t>
  </si>
  <si>
    <t>4.28</t>
  </si>
  <si>
    <t>4.29</t>
  </si>
  <si>
    <t>4.30</t>
  </si>
  <si>
    <t>4.31</t>
  </si>
  <si>
    <t>5.1</t>
  </si>
  <si>
    <t>5.2</t>
  </si>
  <si>
    <t>5.3</t>
  </si>
  <si>
    <t>5.4</t>
  </si>
  <si>
    <t>5.5</t>
  </si>
  <si>
    <t>5.6</t>
  </si>
  <si>
    <t>5.7</t>
  </si>
  <si>
    <t>5.8</t>
  </si>
  <si>
    <t>5.9</t>
  </si>
  <si>
    <t>5.10</t>
  </si>
  <si>
    <t>5.11</t>
  </si>
  <si>
    <t>5.12</t>
  </si>
  <si>
    <t>6.1</t>
  </si>
  <si>
    <t>6.2</t>
  </si>
  <si>
    <t>6.3</t>
  </si>
  <si>
    <t>6.4</t>
  </si>
  <si>
    <t>6.5</t>
  </si>
  <si>
    <t>6.6</t>
  </si>
  <si>
    <t>6.7</t>
  </si>
  <si>
    <t>6.8</t>
  </si>
  <si>
    <t>6.9</t>
  </si>
  <si>
    <t>6.10</t>
  </si>
  <si>
    <t>6.11</t>
  </si>
  <si>
    <t>6.12</t>
  </si>
  <si>
    <t>6.13</t>
  </si>
  <si>
    <t>6.14</t>
  </si>
  <si>
    <t>6.15</t>
  </si>
  <si>
    <t>6.16</t>
  </si>
  <si>
    <t>6.17</t>
  </si>
  <si>
    <t>6.18</t>
  </si>
  <si>
    <t>7.1</t>
  </si>
  <si>
    <t>7.2</t>
  </si>
  <si>
    <t>7.3</t>
  </si>
  <si>
    <t>7.4</t>
  </si>
  <si>
    <t>7.5</t>
  </si>
  <si>
    <t>7.6</t>
  </si>
  <si>
    <t>7.7</t>
  </si>
  <si>
    <t>7.8</t>
  </si>
  <si>
    <t>7.9</t>
  </si>
  <si>
    <t>7.10</t>
  </si>
  <si>
    <t>7.11</t>
  </si>
  <si>
    <t>7.12</t>
  </si>
  <si>
    <t>7.13</t>
  </si>
  <si>
    <t>7.14</t>
  </si>
  <si>
    <t>7.15</t>
  </si>
  <si>
    <t>7.16</t>
  </si>
  <si>
    <t>7.17</t>
  </si>
  <si>
    <t>7.18</t>
  </si>
  <si>
    <t>7.19</t>
  </si>
  <si>
    <t>8.1</t>
  </si>
  <si>
    <t>8.2</t>
  </si>
  <si>
    <t>8.3</t>
  </si>
  <si>
    <t>8.4</t>
  </si>
  <si>
    <t>8.5</t>
  </si>
  <si>
    <t>8.6</t>
  </si>
  <si>
    <t>8.7</t>
  </si>
  <si>
    <t>8.8</t>
  </si>
  <si>
    <t>8.9</t>
  </si>
  <si>
    <t>8.10</t>
  </si>
  <si>
    <t>8.11</t>
  </si>
  <si>
    <t>8.12</t>
  </si>
  <si>
    <t>8.13</t>
  </si>
  <si>
    <t>8.14</t>
  </si>
  <si>
    <t>9.1</t>
  </si>
  <si>
    <t>9.2</t>
  </si>
  <si>
    <t>9.3</t>
  </si>
  <si>
    <t>9.4</t>
  </si>
  <si>
    <t>9.5</t>
  </si>
  <si>
    <t>9.6</t>
  </si>
  <si>
    <t>9.7</t>
  </si>
  <si>
    <t>10.1</t>
  </si>
  <si>
    <t>10.2</t>
  </si>
  <si>
    <t>10.3</t>
  </si>
  <si>
    <t>10.4</t>
  </si>
  <si>
    <t>10.5</t>
  </si>
  <si>
    <t>10.6</t>
  </si>
  <si>
    <t>11.1</t>
  </si>
  <si>
    <t>11.2</t>
  </si>
  <si>
    <t>11.3</t>
  </si>
  <si>
    <t>11.4</t>
  </si>
  <si>
    <t>11.5</t>
  </si>
  <si>
    <t>11.6</t>
  </si>
  <si>
    <t>11.7</t>
  </si>
  <si>
    <t>11.8</t>
  </si>
  <si>
    <t>11.9</t>
  </si>
  <si>
    <t>11.10</t>
  </si>
  <si>
    <t>11.11</t>
  </si>
  <si>
    <t>11.12</t>
  </si>
  <si>
    <t>12.1</t>
  </si>
  <si>
    <t>12.2</t>
  </si>
  <si>
    <t>12.3</t>
  </si>
  <si>
    <t>12.4</t>
  </si>
  <si>
    <t>12.5</t>
  </si>
  <si>
    <t>13.1</t>
  </si>
  <si>
    <t>13.2</t>
  </si>
  <si>
    <t>13.3</t>
  </si>
  <si>
    <t>13.4</t>
  </si>
  <si>
    <t>***</t>
  </si>
  <si>
    <t>Il codice parametri è relativo al DM 140/2012</t>
  </si>
  <si>
    <t>Il Codice competenza è relativo alle competenze previste dall'Ordinamneto professionale riportate nella tabella 2</t>
  </si>
  <si>
    <t>Totali</t>
  </si>
  <si>
    <t>****</t>
  </si>
  <si>
    <r>
      <t xml:space="preserve">Il valore dell'opera è determinato secondo l'art. 3 del dm 140/2012. Ai fini dell'idoneità della polizza si prende  a riferimento il valore medio ponderato dei valori delle opere di cui è stata eseguita la prestazione professionale. In caso di prestazioni future che prevendano valori di opere più elevate rispetto a quelle dichiarate il professionista è tenuto ad adeguare la relativa fascia di rischio. </t>
    </r>
    <r>
      <rPr>
        <b/>
        <i/>
        <sz val="12"/>
        <color indexed="8"/>
        <rFont val="Calibri"/>
        <family val="2"/>
      </rPr>
      <t>In fase di prima applicazione inserire i valori di cui si è a conoscenza per poi adeguarli nel II anno.</t>
    </r>
  </si>
  <si>
    <t xml:space="preserve">Subtotale </t>
  </si>
  <si>
    <t>P</t>
  </si>
  <si>
    <t>CR</t>
  </si>
  <si>
    <t>VRU</t>
  </si>
  <si>
    <t>VRC=VRUxPxCR</t>
  </si>
  <si>
    <t>VOU</t>
  </si>
  <si>
    <t>VOP=PxVOU/#P</t>
  </si>
  <si>
    <r>
      <t>Valore del'opera progettata o valutata o pianificata ai sensi dell'art. 3 del DM 140/2012</t>
    </r>
    <r>
      <rPr>
        <b/>
        <sz val="16"/>
        <color indexed="8"/>
        <rFont val="Calibri"/>
        <family val="2"/>
      </rPr>
      <t>****</t>
    </r>
  </si>
</sst>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61">
    <font>
      <sz val="11"/>
      <color theme="1"/>
      <name val="Calibri"/>
      <family val="2"/>
    </font>
    <font>
      <sz val="11"/>
      <color indexed="8"/>
      <name val="Calibri"/>
      <family val="2"/>
    </font>
    <font>
      <b/>
      <sz val="12"/>
      <color indexed="8"/>
      <name val="Calibri"/>
      <family val="2"/>
    </font>
    <font>
      <sz val="12"/>
      <color indexed="8"/>
      <name val="Calibri"/>
      <family val="2"/>
    </font>
    <font>
      <sz val="12"/>
      <name val="Calibri"/>
      <family val="2"/>
    </font>
    <font>
      <b/>
      <sz val="11"/>
      <color indexed="8"/>
      <name val="Calibri"/>
      <family val="2"/>
    </font>
    <font>
      <sz val="20"/>
      <color indexed="8"/>
      <name val="Calibri"/>
      <family val="2"/>
    </font>
    <font>
      <b/>
      <sz val="24"/>
      <color indexed="8"/>
      <name val="Calibri"/>
      <family val="2"/>
    </font>
    <font>
      <sz val="10"/>
      <name val="Calibri"/>
      <family val="2"/>
    </font>
    <font>
      <b/>
      <sz val="14"/>
      <color indexed="8"/>
      <name val="Calibri"/>
      <family val="2"/>
    </font>
    <font>
      <b/>
      <sz val="16"/>
      <color indexed="8"/>
      <name val="Calibri"/>
      <family val="2"/>
    </font>
    <font>
      <b/>
      <sz val="18"/>
      <color indexed="53"/>
      <name val="Cambria"/>
      <family val="1"/>
    </font>
    <font>
      <b/>
      <sz val="18"/>
      <name val="Cambria"/>
      <family val="1"/>
    </font>
    <font>
      <b/>
      <i/>
      <u val="single"/>
      <sz val="14"/>
      <color indexed="8"/>
      <name val="Calibri"/>
      <family val="2"/>
    </font>
    <font>
      <b/>
      <sz val="10"/>
      <color indexed="8"/>
      <name val="Calibri"/>
      <family val="2"/>
    </font>
    <font>
      <sz val="10"/>
      <color indexed="8"/>
      <name val="Calibri"/>
      <family val="2"/>
    </font>
    <font>
      <i/>
      <sz val="10"/>
      <color indexed="8"/>
      <name val="Calibri"/>
      <family val="2"/>
    </font>
    <font>
      <b/>
      <i/>
      <u val="single"/>
      <sz val="16"/>
      <color indexed="8"/>
      <name val="Calibri"/>
      <family val="2"/>
    </font>
    <font>
      <b/>
      <i/>
      <sz val="12"/>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2"/>
      <color theme="1"/>
      <name val="Calibri"/>
      <family val="2"/>
    </font>
    <font>
      <b/>
      <sz val="12"/>
      <color theme="1"/>
      <name val="Calibri"/>
      <family val="2"/>
    </font>
    <font>
      <b/>
      <sz val="14"/>
      <color theme="1"/>
      <name val="Calibri"/>
      <family val="2"/>
    </font>
    <font>
      <b/>
      <sz val="10"/>
      <color theme="1"/>
      <name val="Calibri"/>
      <family val="2"/>
    </font>
    <font>
      <sz val="10"/>
      <color theme="1"/>
      <name val="Calibri"/>
      <family val="2"/>
    </font>
    <font>
      <sz val="12"/>
      <color rgb="FF000000"/>
      <name val="Calibri"/>
      <family val="2"/>
    </font>
    <font>
      <sz val="20"/>
      <color theme="1"/>
      <name val="Calibri"/>
      <family val="2"/>
    </font>
    <font>
      <b/>
      <sz val="18"/>
      <color theme="9" tint="-0.24997000396251678"/>
      <name val="Cambria"/>
      <family val="1"/>
    </font>
    <font>
      <b/>
      <i/>
      <u val="single"/>
      <sz val="14"/>
      <color theme="1"/>
      <name val="Calibri"/>
      <family val="2"/>
    </font>
    <font>
      <b/>
      <i/>
      <u val="single"/>
      <sz val="16"/>
      <color theme="1"/>
      <name val="Calibri"/>
      <family val="2"/>
    </font>
    <font>
      <b/>
      <sz val="16"/>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92D050"/>
        <bgColor indexed="64"/>
      </patternFill>
    </fill>
    <fill>
      <patternFill patternType="solid">
        <fgColor rgb="FFFFC000"/>
        <bgColor indexed="64"/>
      </patternFill>
    </fill>
    <fill>
      <patternFill patternType="gray0625">
        <bgColor theme="9" tint="0.7999500036239624"/>
      </patternFill>
    </fill>
    <fill>
      <patternFill patternType="solid">
        <fgColor theme="3" tint="0.7999799847602844"/>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right/>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top style="medium"/>
      <bottom style="thin"/>
    </border>
    <border>
      <left/>
      <right style="thin"/>
      <top style="thin"/>
      <bottom/>
    </border>
    <border>
      <left/>
      <right style="thin"/>
      <top/>
      <bottom/>
    </border>
    <border>
      <left/>
      <right style="thin"/>
      <top/>
      <bottom style="thin"/>
    </border>
    <border>
      <left/>
      <right style="thin"/>
      <top style="medium"/>
      <bottom style="thin"/>
    </border>
    <border>
      <left/>
      <right/>
      <top style="thin"/>
      <bottom style="medium"/>
    </border>
    <border>
      <left style="thin"/>
      <right/>
      <top/>
      <bottom style="thin"/>
    </border>
    <border>
      <left style="thin"/>
      <right style="thin"/>
      <top style="thin"/>
      <bottom/>
    </border>
    <border diagonalUp="1" diagonalDown="1">
      <left style="thin"/>
      <right style="thin"/>
      <top style="thin"/>
      <bottom style="thin"/>
      <diagonal style="thin"/>
    </border>
    <border>
      <left style="medium"/>
      <right/>
      <top style="medium"/>
      <bottom/>
    </border>
    <border>
      <left style="medium"/>
      <right/>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1" applyNumberFormat="0" applyAlignment="0" applyProtection="0"/>
    <xf numFmtId="0" fontId="36" fillId="0" borderId="2" applyNumberFormat="0" applyFill="0" applyAlignment="0" applyProtection="0"/>
    <xf numFmtId="0" fontId="37" fillId="21" borderId="3" applyNumberFormat="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8"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9" fillId="29" borderId="0" applyNumberFormat="0" applyBorder="0" applyAlignment="0" applyProtection="0"/>
    <xf numFmtId="0" fontId="0" fillId="30" borderId="4" applyNumberFormat="0" applyFont="0" applyAlignment="0" applyProtection="0"/>
    <xf numFmtId="0" fontId="40" fillId="20" borderId="5"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46" fillId="0" borderId="8" applyNumberFormat="0" applyFill="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31" borderId="0" applyNumberFormat="0" applyBorder="0" applyAlignment="0" applyProtection="0"/>
    <xf numFmtId="0" fontId="49"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09">
    <xf numFmtId="0" fontId="0" fillId="0" borderId="0" xfId="0" applyFont="1" applyAlignment="1">
      <alignment/>
    </xf>
    <xf numFmtId="0" fontId="50" fillId="0" borderId="0" xfId="0" applyFont="1" applyFill="1" applyAlignment="1">
      <alignment/>
    </xf>
    <xf numFmtId="0" fontId="50" fillId="0" borderId="0" xfId="0" applyFont="1" applyAlignment="1">
      <alignment/>
    </xf>
    <xf numFmtId="0" fontId="50" fillId="0" borderId="10" xfId="0" applyFont="1" applyBorder="1" applyAlignment="1">
      <alignment/>
    </xf>
    <xf numFmtId="0" fontId="50" fillId="0" borderId="0" xfId="0" applyFont="1" applyAlignment="1">
      <alignment horizontal="center"/>
    </xf>
    <xf numFmtId="0" fontId="50" fillId="0" borderId="11" xfId="0" applyFont="1" applyBorder="1" applyAlignment="1">
      <alignment/>
    </xf>
    <xf numFmtId="0" fontId="50" fillId="0" borderId="12" xfId="0" applyFont="1" applyBorder="1" applyAlignment="1">
      <alignment horizontal="left" vertical="center" wrapText="1"/>
    </xf>
    <xf numFmtId="0" fontId="50" fillId="0" borderId="0" xfId="0" applyFont="1" applyAlignment="1">
      <alignment horizontal="center" wrapText="1"/>
    </xf>
    <xf numFmtId="0" fontId="50" fillId="0" borderId="10" xfId="0" applyFont="1" applyBorder="1" applyAlignment="1">
      <alignment wrapText="1"/>
    </xf>
    <xf numFmtId="9" fontId="50" fillId="0" borderId="0" xfId="0" applyNumberFormat="1" applyFont="1" applyAlignment="1">
      <alignment/>
    </xf>
    <xf numFmtId="0" fontId="51" fillId="0" borderId="0" xfId="0" applyFont="1" applyAlignment="1">
      <alignment horizontal="center"/>
    </xf>
    <xf numFmtId="0" fontId="51" fillId="0" borderId="0" xfId="0" applyFont="1" applyAlignment="1">
      <alignment/>
    </xf>
    <xf numFmtId="0" fontId="50" fillId="0" borderId="10" xfId="0" applyFont="1" applyBorder="1" applyAlignment="1">
      <alignment horizontal="center" wrapText="1"/>
    </xf>
    <xf numFmtId="9" fontId="50" fillId="0" borderId="13" xfId="0" applyNumberFormat="1" applyFont="1" applyBorder="1" applyAlignment="1">
      <alignment/>
    </xf>
    <xf numFmtId="0" fontId="50" fillId="0" borderId="14" xfId="0" applyFont="1" applyBorder="1" applyAlignment="1">
      <alignment horizontal="center" wrapText="1"/>
    </xf>
    <xf numFmtId="0" fontId="50" fillId="0" borderId="14" xfId="0" applyFont="1" applyBorder="1" applyAlignment="1">
      <alignment wrapText="1"/>
    </xf>
    <xf numFmtId="9" fontId="50" fillId="0" borderId="15" xfId="0" applyNumberFormat="1" applyFont="1" applyBorder="1" applyAlignment="1">
      <alignment/>
    </xf>
    <xf numFmtId="0" fontId="50" fillId="0" borderId="12" xfId="0" applyFont="1" applyBorder="1" applyAlignment="1">
      <alignment horizontal="center"/>
    </xf>
    <xf numFmtId="0" fontId="50" fillId="0" borderId="16" xfId="0" applyFont="1" applyFill="1" applyBorder="1" applyAlignment="1">
      <alignment horizontal="center"/>
    </xf>
    <xf numFmtId="0" fontId="51" fillId="0" borderId="0" xfId="0" applyFont="1" applyAlignment="1">
      <alignment wrapText="1"/>
    </xf>
    <xf numFmtId="0" fontId="51" fillId="0" borderId="17" xfId="0" applyFont="1" applyBorder="1" applyAlignment="1">
      <alignment horizontal="center"/>
    </xf>
    <xf numFmtId="0" fontId="51" fillId="0" borderId="18" xfId="0" applyFont="1" applyBorder="1" applyAlignment="1">
      <alignment horizontal="center"/>
    </xf>
    <xf numFmtId="0" fontId="51" fillId="0" borderId="18" xfId="0" applyFont="1" applyBorder="1" applyAlignment="1">
      <alignment/>
    </xf>
    <xf numFmtId="0" fontId="51" fillId="0" borderId="19" xfId="0" applyFont="1" applyBorder="1" applyAlignment="1">
      <alignment wrapText="1"/>
    </xf>
    <xf numFmtId="0" fontId="51" fillId="0" borderId="10" xfId="0" applyFont="1" applyFill="1" applyBorder="1" applyAlignment="1">
      <alignment horizontal="center"/>
    </xf>
    <xf numFmtId="0" fontId="51" fillId="0" borderId="10" xfId="0" applyFont="1" applyFill="1" applyBorder="1" applyAlignment="1">
      <alignment horizontal="center" vertical="center" wrapText="1"/>
    </xf>
    <xf numFmtId="0" fontId="50" fillId="0" borderId="11" xfId="0" applyFont="1" applyFill="1" applyBorder="1" applyAlignment="1">
      <alignment/>
    </xf>
    <xf numFmtId="0" fontId="47" fillId="4" borderId="10" xfId="0" applyFont="1" applyFill="1" applyBorder="1" applyAlignment="1">
      <alignment horizontal="center"/>
    </xf>
    <xf numFmtId="0" fontId="0" fillId="0" borderId="0" xfId="0" applyFont="1" applyFill="1" applyAlignment="1">
      <alignment/>
    </xf>
    <xf numFmtId="0" fontId="50" fillId="0" borderId="10" xfId="0" applyFont="1" applyFill="1" applyBorder="1" applyAlignment="1">
      <alignment/>
    </xf>
    <xf numFmtId="0" fontId="50" fillId="0" borderId="16" xfId="0" applyFont="1" applyBorder="1" applyAlignment="1">
      <alignment horizontal="left" vertical="center"/>
    </xf>
    <xf numFmtId="0" fontId="51" fillId="0" borderId="20" xfId="0" applyFont="1" applyBorder="1" applyAlignment="1">
      <alignment horizontal="center"/>
    </xf>
    <xf numFmtId="0" fontId="51" fillId="0" borderId="21" xfId="0" applyFont="1" applyBorder="1" applyAlignment="1">
      <alignment horizontal="center"/>
    </xf>
    <xf numFmtId="0" fontId="47" fillId="4" borderId="22" xfId="0" applyFont="1" applyFill="1" applyBorder="1" applyAlignment="1">
      <alignment horizontal="center" wrapText="1"/>
    </xf>
    <xf numFmtId="0" fontId="52" fillId="4" borderId="23" xfId="0" applyFont="1" applyFill="1" applyBorder="1" applyAlignment="1">
      <alignment vertical="center"/>
    </xf>
    <xf numFmtId="0" fontId="52" fillId="4" borderId="24" xfId="0" applyFont="1" applyFill="1" applyBorder="1" applyAlignment="1">
      <alignment vertical="center"/>
    </xf>
    <xf numFmtId="0" fontId="52" fillId="4" borderId="25" xfId="0" applyFont="1" applyFill="1" applyBorder="1" applyAlignment="1">
      <alignment vertical="center"/>
    </xf>
    <xf numFmtId="0" fontId="51" fillId="0" borderId="10" xfId="0" applyFont="1" applyFill="1" applyBorder="1" applyAlignment="1">
      <alignment horizontal="center" vertical="center" wrapText="1"/>
    </xf>
    <xf numFmtId="0" fontId="51" fillId="0" borderId="10" xfId="0" applyFont="1" applyBorder="1" applyAlignment="1">
      <alignment horizontal="center" vertical="center"/>
    </xf>
    <xf numFmtId="0" fontId="8" fillId="0" borderId="10" xfId="0" applyFont="1" applyBorder="1" applyAlignment="1">
      <alignment horizontal="justify" vertical="top"/>
    </xf>
    <xf numFmtId="0" fontId="53" fillId="0" borderId="10" xfId="0" applyFont="1" applyBorder="1" applyAlignment="1">
      <alignment vertical="top" wrapText="1"/>
    </xf>
    <xf numFmtId="0" fontId="54" fillId="0" borderId="10" xfId="0" applyFont="1" applyBorder="1" applyAlignment="1">
      <alignment vertical="top" wrapText="1"/>
    </xf>
    <xf numFmtId="0" fontId="0" fillId="0" borderId="10" xfId="0" applyBorder="1" applyAlignment="1">
      <alignment/>
    </xf>
    <xf numFmtId="0" fontId="54" fillId="0" borderId="10" xfId="0" applyFont="1" applyBorder="1" applyAlignment="1">
      <alignment wrapText="1"/>
    </xf>
    <xf numFmtId="0" fontId="53" fillId="0" borderId="10" xfId="0" applyFont="1" applyBorder="1" applyAlignment="1">
      <alignment horizontal="center" vertical="top" wrapText="1"/>
    </xf>
    <xf numFmtId="0" fontId="51" fillId="0" borderId="10" xfId="0" applyFont="1" applyBorder="1" applyAlignment="1">
      <alignment horizontal="center" vertical="top" wrapText="1"/>
    </xf>
    <xf numFmtId="0" fontId="53" fillId="0" borderId="10" xfId="0" applyFont="1" applyBorder="1" applyAlignment="1">
      <alignment wrapText="1"/>
    </xf>
    <xf numFmtId="0" fontId="51" fillId="0" borderId="10" xfId="0" applyFont="1" applyBorder="1" applyAlignment="1">
      <alignment horizontal="center" vertical="top"/>
    </xf>
    <xf numFmtId="0" fontId="54" fillId="0" borderId="10" xfId="0" applyFont="1" applyBorder="1" applyAlignment="1">
      <alignment vertical="top"/>
    </xf>
    <xf numFmtId="0" fontId="54" fillId="0" borderId="10" xfId="0" applyFont="1" applyBorder="1" applyAlignment="1">
      <alignment horizontal="center" vertical="top" wrapText="1"/>
    </xf>
    <xf numFmtId="0" fontId="54" fillId="0" borderId="10" xfId="0" applyFont="1" applyBorder="1" applyAlignment="1">
      <alignment horizontal="left" vertical="top" wrapText="1"/>
    </xf>
    <xf numFmtId="0" fontId="47" fillId="4" borderId="26" xfId="0" applyFont="1" applyFill="1" applyBorder="1" applyAlignment="1">
      <alignment horizontal="center"/>
    </xf>
    <xf numFmtId="0" fontId="51" fillId="6" borderId="12" xfId="0" applyFont="1" applyFill="1" applyBorder="1" applyAlignment="1">
      <alignment horizontal="left" vertical="center"/>
    </xf>
    <xf numFmtId="0" fontId="50" fillId="0" borderId="12" xfId="0" applyFont="1" applyBorder="1" applyAlignment="1">
      <alignment vertical="center"/>
    </xf>
    <xf numFmtId="0" fontId="50" fillId="0" borderId="12" xfId="0" applyFont="1" applyBorder="1" applyAlignment="1">
      <alignment horizontal="left" vertical="center"/>
    </xf>
    <xf numFmtId="0" fontId="51" fillId="6" borderId="12" xfId="0" applyFont="1" applyFill="1" applyBorder="1" applyAlignment="1">
      <alignment horizontal="left" vertical="center" wrapText="1"/>
    </xf>
    <xf numFmtId="0" fontId="50" fillId="0" borderId="12" xfId="0" applyFont="1" applyBorder="1" applyAlignment="1">
      <alignment horizontal="justify" vertical="center"/>
    </xf>
    <xf numFmtId="0" fontId="4" fillId="0" borderId="12" xfId="0" applyFont="1" applyBorder="1" applyAlignment="1">
      <alignment horizontal="left" vertical="center" wrapText="1"/>
    </xf>
    <xf numFmtId="0" fontId="51" fillId="6" borderId="12" xfId="0" applyFont="1" applyFill="1" applyBorder="1" applyAlignment="1">
      <alignment horizontal="justify" vertical="center"/>
    </xf>
    <xf numFmtId="0" fontId="50" fillId="0" borderId="12" xfId="0" applyFont="1" applyBorder="1" applyAlignment="1">
      <alignment/>
    </xf>
    <xf numFmtId="0" fontId="50" fillId="0" borderId="27" xfId="0" applyFont="1" applyBorder="1" applyAlignment="1">
      <alignment horizontal="left" vertical="center"/>
    </xf>
    <xf numFmtId="0" fontId="51" fillId="6" borderId="16" xfId="0" applyFont="1" applyFill="1" applyBorder="1" applyAlignment="1">
      <alignment horizontal="left" vertical="center"/>
    </xf>
    <xf numFmtId="0" fontId="55" fillId="0" borderId="12" xfId="0" applyFont="1" applyBorder="1" applyAlignment="1">
      <alignment horizontal="justify" vertical="center"/>
    </xf>
    <xf numFmtId="0" fontId="51" fillId="6" borderId="16" xfId="0" applyFont="1" applyFill="1" applyBorder="1" applyAlignment="1">
      <alignment wrapText="1"/>
    </xf>
    <xf numFmtId="0" fontId="50" fillId="0" borderId="12" xfId="0" applyFont="1" applyFill="1" applyBorder="1" applyAlignment="1">
      <alignment wrapText="1"/>
    </xf>
    <xf numFmtId="0" fontId="50" fillId="0" borderId="12" xfId="0" applyFont="1" applyFill="1" applyBorder="1" applyAlignment="1">
      <alignment horizontal="justify" vertical="center"/>
    </xf>
    <xf numFmtId="0" fontId="50" fillId="0" borderId="12" xfId="0" applyFont="1" applyFill="1" applyBorder="1" applyAlignment="1">
      <alignment horizontal="left" vertical="center"/>
    </xf>
    <xf numFmtId="0" fontId="55" fillId="0" borderId="27" xfId="0" applyFont="1" applyFill="1" applyBorder="1" applyAlignment="1">
      <alignment horizontal="justify" vertical="center"/>
    </xf>
    <xf numFmtId="0" fontId="50" fillId="0" borderId="27" xfId="0" applyFont="1" applyFill="1" applyBorder="1" applyAlignment="1">
      <alignment horizontal="left" vertical="center"/>
    </xf>
    <xf numFmtId="0" fontId="51" fillId="6" borderId="12" xfId="0" applyFont="1" applyFill="1" applyBorder="1" applyAlignment="1">
      <alignment/>
    </xf>
    <xf numFmtId="0" fontId="51" fillId="0" borderId="10" xfId="0" applyFont="1" applyFill="1" applyBorder="1" applyAlignment="1">
      <alignment vertical="center"/>
    </xf>
    <xf numFmtId="0" fontId="51" fillId="0" borderId="10" xfId="0" applyFont="1" applyBorder="1" applyAlignment="1">
      <alignment vertical="center"/>
    </xf>
    <xf numFmtId="0" fontId="51" fillId="0" borderId="10" xfId="0" applyFont="1" applyFill="1" applyBorder="1" applyAlignment="1">
      <alignment horizontal="center" vertical="center" wrapText="1"/>
    </xf>
    <xf numFmtId="0" fontId="51" fillId="0" borderId="10" xfId="0" applyFont="1" applyFill="1" applyBorder="1" applyAlignment="1">
      <alignment horizontal="right"/>
    </xf>
    <xf numFmtId="0" fontId="56" fillId="0" borderId="10" xfId="0" applyFont="1" applyBorder="1" applyAlignment="1">
      <alignment horizontal="left" vertical="top"/>
    </xf>
    <xf numFmtId="0" fontId="51" fillId="0" borderId="10" xfId="0" applyFont="1" applyBorder="1" applyAlignment="1">
      <alignment horizontal="left"/>
    </xf>
    <xf numFmtId="0" fontId="51" fillId="0" borderId="10" xfId="0" applyFont="1" applyBorder="1" applyAlignment="1">
      <alignment vertical="center" wrapText="1"/>
    </xf>
    <xf numFmtId="0" fontId="50" fillId="0" borderId="10" xfId="0" applyFont="1" applyBorder="1" applyAlignment="1">
      <alignment horizontal="right"/>
    </xf>
    <xf numFmtId="0" fontId="50" fillId="33" borderId="10" xfId="0" applyFont="1" applyFill="1" applyBorder="1" applyAlignment="1">
      <alignment/>
    </xf>
    <xf numFmtId="0" fontId="47" fillId="4" borderId="16" xfId="0" applyFont="1" applyFill="1" applyBorder="1" applyAlignment="1">
      <alignment horizontal="center"/>
    </xf>
    <xf numFmtId="0" fontId="47" fillId="4" borderId="28" xfId="0" applyFont="1" applyFill="1" applyBorder="1" applyAlignment="1">
      <alignment horizontal="center" wrapText="1"/>
    </xf>
    <xf numFmtId="0" fontId="51" fillId="0" borderId="29" xfId="0" applyFont="1" applyFill="1" applyBorder="1" applyAlignment="1">
      <alignment horizontal="center" vertical="center" wrapText="1"/>
    </xf>
    <xf numFmtId="0" fontId="51" fillId="34" borderId="10" xfId="0" applyFont="1" applyFill="1" applyBorder="1" applyAlignment="1">
      <alignment horizontal="center"/>
    </xf>
    <xf numFmtId="0" fontId="50" fillId="33" borderId="11" xfId="0" applyFont="1" applyFill="1" applyBorder="1" applyAlignment="1">
      <alignment/>
    </xf>
    <xf numFmtId="0" fontId="4" fillId="33" borderId="10" xfId="0" applyFont="1" applyFill="1" applyBorder="1" applyAlignment="1">
      <alignment/>
    </xf>
    <xf numFmtId="9" fontId="50" fillId="33" borderId="10" xfId="48" applyFont="1" applyFill="1" applyBorder="1" applyAlignment="1">
      <alignment/>
    </xf>
    <xf numFmtId="9" fontId="4" fillId="33" borderId="10" xfId="48" applyFont="1" applyFill="1" applyBorder="1" applyAlignment="1">
      <alignment/>
    </xf>
    <xf numFmtId="9" fontId="50" fillId="33" borderId="10" xfId="0" applyNumberFormat="1" applyFont="1" applyFill="1" applyBorder="1" applyAlignment="1">
      <alignment/>
    </xf>
    <xf numFmtId="9" fontId="50" fillId="33" borderId="11" xfId="0" applyNumberFormat="1" applyFont="1" applyFill="1" applyBorder="1" applyAlignment="1">
      <alignment/>
    </xf>
    <xf numFmtId="9" fontId="50" fillId="0" borderId="10" xfId="48" applyFont="1" applyFill="1" applyBorder="1" applyAlignment="1">
      <alignment/>
    </xf>
    <xf numFmtId="9" fontId="50" fillId="0" borderId="10" xfId="48" applyFont="1" applyBorder="1" applyAlignment="1">
      <alignment/>
    </xf>
    <xf numFmtId="9" fontId="50" fillId="0" borderId="10" xfId="0" applyNumberFormat="1" applyFont="1" applyBorder="1" applyAlignment="1">
      <alignment/>
    </xf>
    <xf numFmtId="0" fontId="51" fillId="34" borderId="30" xfId="0" applyFont="1" applyFill="1" applyBorder="1" applyAlignment="1">
      <alignment horizontal="center"/>
    </xf>
    <xf numFmtId="0" fontId="4" fillId="33" borderId="30" xfId="0" applyFont="1" applyFill="1" applyBorder="1" applyAlignment="1">
      <alignment/>
    </xf>
    <xf numFmtId="0" fontId="0" fillId="0" borderId="31" xfId="0" applyBorder="1" applyAlignment="1">
      <alignment horizontal="left"/>
    </xf>
    <xf numFmtId="0" fontId="0" fillId="0" borderId="32" xfId="0" applyBorder="1" applyAlignment="1">
      <alignment horizontal="left"/>
    </xf>
    <xf numFmtId="0" fontId="57" fillId="35" borderId="10" xfId="0" applyFont="1" applyFill="1" applyBorder="1" applyAlignment="1">
      <alignment horizontal="center"/>
    </xf>
    <xf numFmtId="0" fontId="12" fillId="35" borderId="10" xfId="0" applyFont="1" applyFill="1" applyBorder="1" applyAlignment="1">
      <alignment horizontal="center"/>
    </xf>
    <xf numFmtId="0" fontId="52" fillId="0" borderId="10" xfId="0" applyFont="1" applyFill="1" applyBorder="1" applyAlignment="1">
      <alignment horizontal="center" vertical="center"/>
    </xf>
    <xf numFmtId="0" fontId="58" fillId="0" borderId="10" xfId="0" applyFont="1" applyBorder="1" applyAlignment="1">
      <alignment horizontal="left"/>
    </xf>
    <xf numFmtId="0" fontId="0" fillId="36" borderId="10" xfId="0" applyFill="1" applyBorder="1" applyAlignment="1">
      <alignment horizontal="center"/>
    </xf>
    <xf numFmtId="0" fontId="59" fillId="0" borderId="10" xfId="0" applyFont="1" applyBorder="1" applyAlignment="1">
      <alignment horizontal="left" vertical="top" wrapText="1"/>
    </xf>
    <xf numFmtId="0" fontId="51" fillId="0" borderId="10" xfId="0" applyFont="1" applyFill="1" applyBorder="1" applyAlignment="1">
      <alignment horizontal="center" vertical="center"/>
    </xf>
    <xf numFmtId="0" fontId="53" fillId="0" borderId="10" xfId="0" applyFont="1" applyBorder="1" applyAlignment="1">
      <alignment horizontal="center" vertical="top" wrapText="1"/>
    </xf>
    <xf numFmtId="0" fontId="51" fillId="0" borderId="10" xfId="0" applyFont="1" applyFill="1" applyBorder="1" applyAlignment="1">
      <alignment horizontal="center" vertical="center" wrapText="1"/>
    </xf>
    <xf numFmtId="0" fontId="53" fillId="0" borderId="10" xfId="0" applyFont="1" applyBorder="1" applyAlignment="1">
      <alignment horizontal="center" vertical="center" wrapText="1"/>
    </xf>
    <xf numFmtId="0" fontId="60" fillId="0" borderId="10" xfId="0" applyFont="1" applyBorder="1" applyAlignment="1">
      <alignment horizontal="center" vertical="center" wrapText="1"/>
    </xf>
    <xf numFmtId="0" fontId="58" fillId="0" borderId="10" xfId="0" applyFont="1" applyBorder="1" applyAlignment="1">
      <alignment horizontal="left" wrapText="1"/>
    </xf>
    <xf numFmtId="0" fontId="51" fillId="0" borderId="10" xfId="0" applyFont="1" applyBorder="1" applyAlignment="1">
      <alignment horizontal="center" vertical="center"/>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X:\2_LANDSCAPE%20PROJECT%20MANAGEMENT\0-Struttura%20della%20procedura\PG%200%20LANDSCAPE%20PROJECT%20MANAGEMENT\Landproje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Procedura Land "/>
      <sheetName val="1.Protocollo"/>
      <sheetName val="2. Fascicolo Cliente_"/>
      <sheetName val="3.Fascicolo Fornitore"/>
      <sheetName val="4.Fascicolo Collaboratore"/>
      <sheetName val="5.Fascicolo di progetto"/>
      <sheetName val="5.2 Denominazione del progetto"/>
      <sheetName val="5.5-5.6 Cat e dest funzionale"/>
      <sheetName val="5.7-5.8.Aree-pres professionali"/>
      <sheetName val="5.8.1.Tav Z-2.aI"/>
      <sheetName val="5.8.2.Tav Z-2-b.I"/>
      <sheetName val="5.8.3.Tav Z-b.II"/>
      <sheetName val="5.8.4.Tav Z-b.III"/>
      <sheetName val="5.8.5.Tav Z-c.I"/>
      <sheetName val="5.8.6Tav Z-d.1"/>
      <sheetName val="6.Fascicolo di Prestazione"/>
      <sheetName val="6.3 Tipologia Prestazionale"/>
      <sheetName val="6.3.1. Moduli amministrativi"/>
      <sheetName val="6.3.2.Moduli Tecnici"/>
      <sheetName val="6.3.3.Moduli Cartografici"/>
      <sheetName val="6.3.4.Allegati Tecnici"/>
      <sheetName val="6.3.5.Allegati Amministrativi"/>
      <sheetName val="6.3.6.Allegati Cartografici"/>
      <sheetName val="6.3.7.Allegati Fotografici"/>
      <sheetName val="6.4.Scheda standard prestaz"/>
      <sheetName val="6.4.1Competenza professionale"/>
      <sheetName val="7.Amministrazione"/>
      <sheetName val="8.Doc. tecnico-scientif"/>
      <sheetName val="9.Normativa"/>
      <sheetName val="DV-IDENTITY-0"/>
    </sheetNames>
    <sheetDataSet>
      <sheetData sheetId="25">
        <row r="8">
          <cell r="A8" t="str">
            <v>CDAF1</v>
          </cell>
        </row>
        <row r="9">
          <cell r="A9" t="str">
            <v>CDAF2</v>
          </cell>
        </row>
        <row r="10">
          <cell r="A10" t="str">
            <v>CDAF3</v>
          </cell>
        </row>
        <row r="11">
          <cell r="A11" t="str">
            <v>CDAF4</v>
          </cell>
        </row>
        <row r="12">
          <cell r="A12" t="str">
            <v>CDAF5</v>
          </cell>
        </row>
        <row r="13">
          <cell r="A13" t="str">
            <v>CDAF6</v>
          </cell>
        </row>
        <row r="14">
          <cell r="A14" t="str">
            <v>CDAF7</v>
          </cell>
        </row>
        <row r="16">
          <cell r="A16" t="str">
            <v>CDAF9</v>
          </cell>
        </row>
        <row r="17">
          <cell r="A17" t="str">
            <v>CDAF10</v>
          </cell>
        </row>
        <row r="18">
          <cell r="A18" t="str">
            <v>CDAF11</v>
          </cell>
        </row>
        <row r="19">
          <cell r="A19" t="str">
            <v>CDAF12</v>
          </cell>
        </row>
        <row r="20">
          <cell r="A20" t="str">
            <v>CDAF13</v>
          </cell>
        </row>
        <row r="21">
          <cell r="A21" t="str">
            <v>CDAF14</v>
          </cell>
        </row>
        <row r="22">
          <cell r="A22" t="str">
            <v>CDAF15</v>
          </cell>
        </row>
        <row r="23">
          <cell r="A23" t="str">
            <v>CDAF16</v>
          </cell>
        </row>
        <row r="24">
          <cell r="A24" t="str">
            <v>CDAF17</v>
          </cell>
        </row>
        <row r="25">
          <cell r="A25" t="str">
            <v>CDAF18</v>
          </cell>
        </row>
        <row r="27">
          <cell r="A27" t="str">
            <v>CDAF20</v>
          </cell>
        </row>
        <row r="28">
          <cell r="A28" t="str">
            <v>CDAF21</v>
          </cell>
        </row>
        <row r="29">
          <cell r="A29" t="str">
            <v>CDAF22</v>
          </cell>
        </row>
        <row r="31">
          <cell r="A31" t="str">
            <v>CDAF24</v>
          </cell>
        </row>
        <row r="32">
          <cell r="A32" t="str">
            <v>CDAF25</v>
          </cell>
        </row>
        <row r="49">
          <cell r="A49" t="str">
            <v>CAF08</v>
          </cell>
        </row>
        <row r="56">
          <cell r="A56" t="str">
            <v>CBA02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customProperty" Target="../customProperty1.bin" /></Relationships>
</file>

<file path=xl/worksheets/_rels/sheet2.xml.rels><?xml version="1.0" encoding="utf-8" standalone="yes"?><Relationships xmlns="http://schemas.openxmlformats.org/package/2006/relationships"><Relationship Id="rId1" Type="http://schemas.openxmlformats.org/officeDocument/2006/relationships/customProperty" Target="../customProperty2.bin" /></Relationships>
</file>

<file path=xl/worksheets/_rels/sheet3.xml.rels><?xml version="1.0" encoding="utf-8" standalone="yes"?><Relationships xmlns="http://schemas.openxmlformats.org/package/2006/relationships"><Relationship Id="rId1" Type="http://schemas.openxmlformats.org/officeDocument/2006/relationships/customProperty" Target="../customProperty3.bin" /></Relationships>
</file>

<file path=xl/worksheets/sheet1.xml><?xml version="1.0" encoding="utf-8"?>
<worksheet xmlns="http://schemas.openxmlformats.org/spreadsheetml/2006/main" xmlns:r="http://schemas.openxmlformats.org/officeDocument/2006/relationships">
  <dimension ref="A1:IO202"/>
  <sheetViews>
    <sheetView tabSelected="1" zoomScale="89" zoomScaleNormal="89" zoomScalePageLayoutView="0" workbookViewId="0" topLeftCell="A160">
      <selection activeCell="C202" sqref="C202"/>
    </sheetView>
  </sheetViews>
  <sheetFormatPr defaultColWidth="49.57421875" defaultRowHeight="15"/>
  <cols>
    <col min="1" max="1" width="18.8515625" style="2" bestFit="1" customWidth="1"/>
    <col min="2" max="2" width="86.28125" style="2" customWidth="1"/>
    <col min="3" max="3" width="21.140625" style="2" bestFit="1" customWidth="1"/>
    <col min="4" max="4" width="48.28125" style="2" customWidth="1"/>
    <col min="5" max="5" width="19.00390625" style="2" customWidth="1"/>
    <col min="6" max="6" width="12.28125" style="2" customWidth="1"/>
    <col min="7" max="7" width="11.57421875" style="2" customWidth="1"/>
    <col min="8" max="10" width="16.00390625" style="2" customWidth="1"/>
    <col min="11" max="16384" width="49.57421875" style="2" customWidth="1"/>
  </cols>
  <sheetData>
    <row r="1" spans="1:249" s="1" customFormat="1" ht="131.25">
      <c r="A1" s="70" t="s">
        <v>403</v>
      </c>
      <c r="B1" s="51" t="s">
        <v>238</v>
      </c>
      <c r="C1" s="33" t="s">
        <v>253</v>
      </c>
      <c r="D1" s="27" t="s">
        <v>254</v>
      </c>
      <c r="E1" s="25" t="s">
        <v>255</v>
      </c>
      <c r="F1" s="25" t="s">
        <v>179</v>
      </c>
      <c r="G1" s="25" t="s">
        <v>178</v>
      </c>
      <c r="H1" s="25" t="s">
        <v>252</v>
      </c>
      <c r="I1" s="72" t="s">
        <v>587</v>
      </c>
      <c r="J1" s="37" t="s">
        <v>587</v>
      </c>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c r="BP1" s="28"/>
      <c r="BQ1" s="28"/>
      <c r="BR1" s="28"/>
      <c r="BS1" s="28"/>
      <c r="BT1" s="28"/>
      <c r="BU1" s="28"/>
      <c r="BV1" s="28"/>
      <c r="BW1" s="28"/>
      <c r="BX1" s="28"/>
      <c r="BY1" s="28"/>
      <c r="BZ1" s="28"/>
      <c r="CA1" s="28"/>
      <c r="CB1" s="28"/>
      <c r="CC1" s="28"/>
      <c r="CD1" s="28"/>
      <c r="CE1" s="28"/>
      <c r="CF1" s="28"/>
      <c r="CG1" s="28"/>
      <c r="CH1" s="28"/>
      <c r="CI1" s="28"/>
      <c r="CJ1" s="28"/>
      <c r="CK1" s="28"/>
      <c r="CL1" s="28"/>
      <c r="CM1" s="28"/>
      <c r="CN1" s="28"/>
      <c r="CO1" s="28"/>
      <c r="CP1" s="28"/>
      <c r="CQ1" s="28"/>
      <c r="CR1" s="28"/>
      <c r="CS1" s="28"/>
      <c r="CT1" s="28"/>
      <c r="CU1" s="28"/>
      <c r="CV1" s="28"/>
      <c r="CW1" s="28"/>
      <c r="CX1" s="28"/>
      <c r="CY1" s="28"/>
      <c r="CZ1" s="28"/>
      <c r="DA1" s="28"/>
      <c r="DB1" s="28"/>
      <c r="DC1" s="28"/>
      <c r="DD1" s="28"/>
      <c r="DE1" s="28"/>
      <c r="DF1" s="28"/>
      <c r="DG1" s="28"/>
      <c r="DH1" s="28"/>
      <c r="DI1" s="28"/>
      <c r="DJ1" s="28"/>
      <c r="DK1" s="28"/>
      <c r="DL1" s="28"/>
      <c r="DM1" s="28"/>
      <c r="DN1" s="28"/>
      <c r="DO1" s="28"/>
      <c r="DP1" s="28"/>
      <c r="DQ1" s="28"/>
      <c r="DR1" s="28"/>
      <c r="DS1" s="28"/>
      <c r="DT1" s="28"/>
      <c r="DU1" s="28"/>
      <c r="DV1" s="28"/>
      <c r="DW1" s="28"/>
      <c r="DX1" s="28"/>
      <c r="DY1" s="28"/>
      <c r="DZ1" s="28"/>
      <c r="EA1" s="28"/>
      <c r="EB1" s="28"/>
      <c r="EC1" s="28"/>
      <c r="ED1" s="28"/>
      <c r="EE1" s="28"/>
      <c r="EF1" s="28"/>
      <c r="EG1" s="28"/>
      <c r="EH1" s="28"/>
      <c r="EI1" s="28"/>
      <c r="EJ1" s="28"/>
      <c r="EK1" s="28"/>
      <c r="EL1" s="28"/>
      <c r="EM1" s="28"/>
      <c r="EN1" s="28"/>
      <c r="EO1" s="28"/>
      <c r="EP1" s="28"/>
      <c r="EQ1" s="28"/>
      <c r="ER1" s="28"/>
      <c r="ES1" s="28"/>
      <c r="ET1" s="28"/>
      <c r="EU1" s="28"/>
      <c r="EV1" s="28"/>
      <c r="EW1" s="28"/>
      <c r="EX1" s="28"/>
      <c r="EY1" s="28"/>
      <c r="EZ1" s="28"/>
      <c r="FA1" s="28"/>
      <c r="FB1" s="28"/>
      <c r="FC1" s="28"/>
      <c r="FD1" s="28"/>
      <c r="FE1" s="28"/>
      <c r="FF1" s="28"/>
      <c r="FG1" s="28"/>
      <c r="FH1" s="28"/>
      <c r="FI1" s="28"/>
      <c r="FJ1" s="28"/>
      <c r="FK1" s="28"/>
      <c r="FL1" s="28"/>
      <c r="FM1" s="28"/>
      <c r="FN1" s="28"/>
      <c r="FO1" s="28"/>
      <c r="FP1" s="28"/>
      <c r="FQ1" s="28"/>
      <c r="FR1" s="28"/>
      <c r="FS1" s="28"/>
      <c r="FT1" s="28"/>
      <c r="FU1" s="28"/>
      <c r="FV1" s="28"/>
      <c r="FW1" s="28"/>
      <c r="FX1" s="28"/>
      <c r="FY1" s="28"/>
      <c r="FZ1" s="28"/>
      <c r="GA1" s="28"/>
      <c r="GB1" s="28"/>
      <c r="GC1" s="28"/>
      <c r="GD1" s="28"/>
      <c r="GE1" s="28"/>
      <c r="GF1" s="28"/>
      <c r="GG1" s="28"/>
      <c r="GH1" s="28"/>
      <c r="GI1" s="28"/>
      <c r="GJ1" s="28"/>
      <c r="GK1" s="28"/>
      <c r="GL1" s="28"/>
      <c r="GM1" s="28"/>
      <c r="GN1" s="28"/>
      <c r="GO1" s="28"/>
      <c r="GP1" s="28"/>
      <c r="GQ1" s="28"/>
      <c r="GR1" s="28"/>
      <c r="GS1" s="28"/>
      <c r="GT1" s="28"/>
      <c r="GU1" s="28"/>
      <c r="GV1" s="28"/>
      <c r="GW1" s="28"/>
      <c r="GX1" s="28"/>
      <c r="GY1" s="28"/>
      <c r="GZ1" s="28"/>
      <c r="HA1" s="28"/>
      <c r="HB1" s="28"/>
      <c r="HC1" s="28"/>
      <c r="HD1" s="28"/>
      <c r="HE1" s="28"/>
      <c r="HF1" s="28"/>
      <c r="HG1" s="28"/>
      <c r="HH1" s="28"/>
      <c r="HI1" s="28"/>
      <c r="HJ1" s="28"/>
      <c r="HK1" s="28"/>
      <c r="HL1" s="28"/>
      <c r="HM1" s="28"/>
      <c r="HN1" s="28"/>
      <c r="HO1" s="28"/>
      <c r="HP1" s="28"/>
      <c r="HQ1" s="28"/>
      <c r="HR1" s="28"/>
      <c r="HS1" s="28"/>
      <c r="HT1" s="28"/>
      <c r="HU1" s="28"/>
      <c r="HV1" s="28"/>
      <c r="HW1" s="28"/>
      <c r="HX1" s="28"/>
      <c r="HY1" s="28"/>
      <c r="HZ1" s="28"/>
      <c r="IA1" s="28"/>
      <c r="IB1" s="28"/>
      <c r="IC1" s="28"/>
      <c r="ID1" s="28"/>
      <c r="IE1" s="28"/>
      <c r="IF1" s="28"/>
      <c r="IG1" s="28"/>
      <c r="IH1" s="28"/>
      <c r="II1" s="28"/>
      <c r="IJ1" s="28"/>
      <c r="IK1" s="28"/>
      <c r="IL1" s="28"/>
      <c r="IM1" s="28"/>
      <c r="IN1" s="28"/>
      <c r="IO1" s="28"/>
    </row>
    <row r="2" spans="1:249" s="1" customFormat="1" ht="31.5">
      <c r="A2" s="70"/>
      <c r="B2" s="79"/>
      <c r="C2" s="80"/>
      <c r="D2" s="27"/>
      <c r="E2" s="72" t="s">
        <v>583</v>
      </c>
      <c r="F2" s="81" t="s">
        <v>581</v>
      </c>
      <c r="G2" s="72" t="s">
        <v>582</v>
      </c>
      <c r="H2" s="81" t="s">
        <v>584</v>
      </c>
      <c r="I2" s="81" t="s">
        <v>585</v>
      </c>
      <c r="J2" s="81" t="s">
        <v>586</v>
      </c>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c r="CJ2" s="28"/>
      <c r="CK2" s="28"/>
      <c r="CL2" s="28"/>
      <c r="CM2" s="28"/>
      <c r="CN2" s="28"/>
      <c r="CO2" s="28"/>
      <c r="CP2" s="28"/>
      <c r="CQ2" s="28"/>
      <c r="CR2" s="28"/>
      <c r="CS2" s="28"/>
      <c r="CT2" s="28"/>
      <c r="CU2" s="28"/>
      <c r="CV2" s="28"/>
      <c r="CW2" s="28"/>
      <c r="CX2" s="28"/>
      <c r="CY2" s="28"/>
      <c r="CZ2" s="28"/>
      <c r="DA2" s="28"/>
      <c r="DB2" s="28"/>
      <c r="DC2" s="28"/>
      <c r="DD2" s="28"/>
      <c r="DE2" s="28"/>
      <c r="DF2" s="28"/>
      <c r="DG2" s="28"/>
      <c r="DH2" s="28"/>
      <c r="DI2" s="28"/>
      <c r="DJ2" s="28"/>
      <c r="DK2" s="28"/>
      <c r="DL2" s="28"/>
      <c r="DM2" s="28"/>
      <c r="DN2" s="28"/>
      <c r="DO2" s="28"/>
      <c r="DP2" s="28"/>
      <c r="DQ2" s="28"/>
      <c r="DR2" s="28"/>
      <c r="DS2" s="28"/>
      <c r="DT2" s="28"/>
      <c r="DU2" s="28"/>
      <c r="DV2" s="28"/>
      <c r="DW2" s="28"/>
      <c r="DX2" s="28"/>
      <c r="DY2" s="28"/>
      <c r="DZ2" s="28"/>
      <c r="EA2" s="28"/>
      <c r="EB2" s="28"/>
      <c r="EC2" s="28"/>
      <c r="ED2" s="28"/>
      <c r="EE2" s="28"/>
      <c r="EF2" s="28"/>
      <c r="EG2" s="28"/>
      <c r="EH2" s="28"/>
      <c r="EI2" s="28"/>
      <c r="EJ2" s="28"/>
      <c r="EK2" s="28"/>
      <c r="EL2" s="28"/>
      <c r="EM2" s="28"/>
      <c r="EN2" s="28"/>
      <c r="EO2" s="28"/>
      <c r="EP2" s="28"/>
      <c r="EQ2" s="28"/>
      <c r="ER2" s="28"/>
      <c r="ES2" s="28"/>
      <c r="ET2" s="28"/>
      <c r="EU2" s="28"/>
      <c r="EV2" s="28"/>
      <c r="EW2" s="28"/>
      <c r="EX2" s="28"/>
      <c r="EY2" s="28"/>
      <c r="EZ2" s="28"/>
      <c r="FA2" s="28"/>
      <c r="FB2" s="28"/>
      <c r="FC2" s="28"/>
      <c r="FD2" s="28"/>
      <c r="FE2" s="28"/>
      <c r="FF2" s="28"/>
      <c r="FG2" s="28"/>
      <c r="FH2" s="28"/>
      <c r="FI2" s="28"/>
      <c r="FJ2" s="28"/>
      <c r="FK2" s="28"/>
      <c r="FL2" s="28"/>
      <c r="FM2" s="28"/>
      <c r="FN2" s="28"/>
      <c r="FO2" s="28"/>
      <c r="FP2" s="28"/>
      <c r="FQ2" s="28"/>
      <c r="FR2" s="28"/>
      <c r="FS2" s="28"/>
      <c r="FT2" s="28"/>
      <c r="FU2" s="28"/>
      <c r="FV2" s="28"/>
      <c r="FW2" s="28"/>
      <c r="FX2" s="28"/>
      <c r="FY2" s="28"/>
      <c r="FZ2" s="28"/>
      <c r="GA2" s="28"/>
      <c r="GB2" s="28"/>
      <c r="GC2" s="28"/>
      <c r="GD2" s="28"/>
      <c r="GE2" s="28"/>
      <c r="GF2" s="28"/>
      <c r="GG2" s="28"/>
      <c r="GH2" s="28"/>
      <c r="GI2" s="28"/>
      <c r="GJ2" s="28"/>
      <c r="GK2" s="28"/>
      <c r="GL2" s="28"/>
      <c r="GM2" s="28"/>
      <c r="GN2" s="28"/>
      <c r="GO2" s="28"/>
      <c r="GP2" s="28"/>
      <c r="GQ2" s="28"/>
      <c r="GR2" s="28"/>
      <c r="GS2" s="28"/>
      <c r="GT2" s="28"/>
      <c r="GU2" s="28"/>
      <c r="GV2" s="28"/>
      <c r="GW2" s="28"/>
      <c r="GX2" s="28"/>
      <c r="GY2" s="28"/>
      <c r="GZ2" s="28"/>
      <c r="HA2" s="28"/>
      <c r="HB2" s="28"/>
      <c r="HC2" s="28"/>
      <c r="HD2" s="28"/>
      <c r="HE2" s="28"/>
      <c r="HF2" s="28"/>
      <c r="HG2" s="28"/>
      <c r="HH2" s="28"/>
      <c r="HI2" s="28"/>
      <c r="HJ2" s="28"/>
      <c r="HK2" s="28"/>
      <c r="HL2" s="28"/>
      <c r="HM2" s="28"/>
      <c r="HN2" s="28"/>
      <c r="HO2" s="28"/>
      <c r="HP2" s="28"/>
      <c r="HQ2" s="28"/>
      <c r="HR2" s="28"/>
      <c r="HS2" s="28"/>
      <c r="HT2" s="28"/>
      <c r="HU2" s="28"/>
      <c r="HV2" s="28"/>
      <c r="HW2" s="28"/>
      <c r="HX2" s="28"/>
      <c r="HY2" s="28"/>
      <c r="HZ2" s="28"/>
      <c r="IA2" s="28"/>
      <c r="IB2" s="28"/>
      <c r="IC2" s="28"/>
      <c r="ID2" s="28"/>
      <c r="IE2" s="28"/>
      <c r="IF2" s="28"/>
      <c r="IG2" s="28"/>
      <c r="IH2" s="28"/>
      <c r="II2" s="28"/>
      <c r="IJ2" s="28"/>
      <c r="IK2" s="28"/>
      <c r="IL2" s="28"/>
      <c r="IM2" s="28"/>
      <c r="IN2" s="28"/>
      <c r="IO2" s="28"/>
    </row>
    <row r="3" spans="1:10" s="1" customFormat="1" ht="15.75">
      <c r="A3" s="70"/>
      <c r="B3" s="18"/>
      <c r="C3" s="26"/>
      <c r="D3" s="29"/>
      <c r="E3" s="24" t="s">
        <v>177</v>
      </c>
      <c r="F3" s="24" t="s">
        <v>170</v>
      </c>
      <c r="G3" s="24" t="s">
        <v>180</v>
      </c>
      <c r="H3" s="24" t="s">
        <v>177</v>
      </c>
      <c r="I3" s="24" t="s">
        <v>177</v>
      </c>
      <c r="J3" s="24" t="s">
        <v>177</v>
      </c>
    </row>
    <row r="4" spans="1:10" s="1" customFormat="1" ht="28.5" customHeight="1">
      <c r="A4" s="70"/>
      <c r="B4" s="18"/>
      <c r="C4" s="26"/>
      <c r="D4" s="73" t="s">
        <v>577</v>
      </c>
      <c r="E4" s="82">
        <f>+E5+E10+E22+E52+E84+E97+E116+E136+E151+E159+E166+E179+E185</f>
        <v>0</v>
      </c>
      <c r="F4" s="82">
        <f>+F5+F10+F22+F52+F84+F97+F116+F136+F151+F159+F166+F179+F185</f>
        <v>0</v>
      </c>
      <c r="G4" s="92"/>
      <c r="H4" s="82">
        <f>+H5+H10+H22+H52+H84+H97+H116+H136+H151+H159+H166+H179+H185</f>
        <v>0</v>
      </c>
      <c r="I4" s="92"/>
      <c r="J4" s="82" t="e">
        <f>+(J5+J10+J22+J52+J84+J97+J116+J136+J151+J159+J166+J179+J185)/F4</f>
        <v>#DIV/0!</v>
      </c>
    </row>
    <row r="5" spans="1:10" ht="15.75">
      <c r="A5" s="71">
        <v>1</v>
      </c>
      <c r="B5" s="52" t="s">
        <v>1</v>
      </c>
      <c r="C5" s="5"/>
      <c r="D5" s="77" t="s">
        <v>580</v>
      </c>
      <c r="E5" s="78">
        <f>SUM(E6:E8)</f>
        <v>0</v>
      </c>
      <c r="F5" s="78">
        <f>SUM(F6:F8)</f>
        <v>0</v>
      </c>
      <c r="G5" s="85">
        <v>0.5</v>
      </c>
      <c r="H5" s="78">
        <f>SUM(H6:H8)</f>
        <v>0</v>
      </c>
      <c r="I5" s="78"/>
      <c r="J5" s="78">
        <f>SUM(J6:J8)</f>
        <v>0</v>
      </c>
    </row>
    <row r="6" spans="1:10" ht="15.75">
      <c r="A6" s="71" t="s">
        <v>404</v>
      </c>
      <c r="B6" s="53" t="s">
        <v>2</v>
      </c>
      <c r="C6" s="5" t="s">
        <v>195</v>
      </c>
      <c r="D6" s="3" t="str">
        <f>+'[1]6.4.1Competenza professionale'!A18</f>
        <v>CDAF11</v>
      </c>
      <c r="E6" s="3"/>
      <c r="F6" s="3"/>
      <c r="G6" s="89">
        <v>0.5</v>
      </c>
      <c r="H6" s="3">
        <f>+E6*F6*G6</f>
        <v>0</v>
      </c>
      <c r="I6" s="3"/>
      <c r="J6" s="3">
        <f>+F6*I6</f>
        <v>0</v>
      </c>
    </row>
    <row r="7" spans="1:10" ht="15.75">
      <c r="A7" s="71" t="s">
        <v>405</v>
      </c>
      <c r="B7" s="53" t="s">
        <v>3</v>
      </c>
      <c r="C7" s="5" t="s">
        <v>195</v>
      </c>
      <c r="D7" s="3" t="str">
        <f>+'[1]6.4.1Competenza professionale'!A18</f>
        <v>CDAF11</v>
      </c>
      <c r="E7" s="3"/>
      <c r="F7" s="3"/>
      <c r="G7" s="89">
        <v>0.5</v>
      </c>
      <c r="H7" s="3">
        <f>+E7*F7*G7</f>
        <v>0</v>
      </c>
      <c r="I7" s="3"/>
      <c r="J7" s="3">
        <f>+F7*I7</f>
        <v>0</v>
      </c>
    </row>
    <row r="8" spans="1:10" ht="15.75">
      <c r="A8" s="71" t="s">
        <v>406</v>
      </c>
      <c r="B8" s="2" t="s">
        <v>4</v>
      </c>
      <c r="C8" s="5" t="s">
        <v>196</v>
      </c>
      <c r="D8" s="3" t="str">
        <f>+'[1]6.4.1Competenza professionale'!A18</f>
        <v>CDAF11</v>
      </c>
      <c r="E8" s="3"/>
      <c r="F8" s="3"/>
      <c r="G8" s="89">
        <v>0.5</v>
      </c>
      <c r="H8" s="3">
        <f>+E8*F8*G8</f>
        <v>0</v>
      </c>
      <c r="I8" s="3"/>
      <c r="J8" s="3">
        <f>+F8*I8</f>
        <v>0</v>
      </c>
    </row>
    <row r="9" spans="1:10" ht="15.75">
      <c r="A9" s="71"/>
      <c r="B9" s="54"/>
      <c r="C9" s="5"/>
      <c r="D9" s="3"/>
      <c r="E9" s="3"/>
      <c r="F9" s="3"/>
      <c r="G9" s="3"/>
      <c r="H9" s="3"/>
      <c r="I9" s="3"/>
      <c r="J9" s="3"/>
    </row>
    <row r="10" spans="1:10" ht="31.5">
      <c r="A10" s="71">
        <v>2</v>
      </c>
      <c r="B10" s="55" t="s">
        <v>6</v>
      </c>
      <c r="C10" s="5" t="s">
        <v>197</v>
      </c>
      <c r="D10" s="3"/>
      <c r="E10" s="84">
        <f>SUM(E11:E20)</f>
        <v>0</v>
      </c>
      <c r="F10" s="84">
        <f>SUM(F11:F20)</f>
        <v>0</v>
      </c>
      <c r="G10" s="86">
        <v>0.5</v>
      </c>
      <c r="H10" s="84">
        <f>SUM(H11:H20)</f>
        <v>0</v>
      </c>
      <c r="I10" s="93"/>
      <c r="J10" s="84">
        <f>SUM(J11:J20)</f>
        <v>0</v>
      </c>
    </row>
    <row r="11" spans="1:10" ht="15.75">
      <c r="A11" s="71" t="s">
        <v>407</v>
      </c>
      <c r="B11" s="54" t="s">
        <v>7</v>
      </c>
      <c r="C11" s="5" t="s">
        <v>195</v>
      </c>
      <c r="D11" s="3" t="str">
        <f>+'[1]6.4.1Competenza professionale'!A22</f>
        <v>CDAF15</v>
      </c>
      <c r="E11" s="3"/>
      <c r="F11" s="3"/>
      <c r="G11" s="89">
        <v>0.5</v>
      </c>
      <c r="H11" s="3">
        <f aca="true" t="shared" si="0" ref="H11:H20">+E11*F11*G11</f>
        <v>0</v>
      </c>
      <c r="I11" s="3"/>
      <c r="J11" s="3">
        <f aca="true" t="shared" si="1" ref="J11:J20">+F11*I11</f>
        <v>0</v>
      </c>
    </row>
    <row r="12" spans="1:10" ht="15.75">
      <c r="A12" s="71" t="s">
        <v>408</v>
      </c>
      <c r="B12" s="54" t="s">
        <v>8</v>
      </c>
      <c r="C12" s="5" t="s">
        <v>195</v>
      </c>
      <c r="D12" s="3" t="str">
        <f aca="true" t="shared" si="2" ref="D12:D17">+D11</f>
        <v>CDAF15</v>
      </c>
      <c r="E12" s="3"/>
      <c r="F12" s="3"/>
      <c r="G12" s="89">
        <v>0.5</v>
      </c>
      <c r="H12" s="3">
        <f t="shared" si="0"/>
        <v>0</v>
      </c>
      <c r="I12" s="3"/>
      <c r="J12" s="3">
        <f t="shared" si="1"/>
        <v>0</v>
      </c>
    </row>
    <row r="13" spans="1:10" ht="15.75">
      <c r="A13" s="71" t="s">
        <v>409</v>
      </c>
      <c r="B13" s="54" t="s">
        <v>9</v>
      </c>
      <c r="C13" s="5" t="s">
        <v>195</v>
      </c>
      <c r="D13" s="3" t="str">
        <f t="shared" si="2"/>
        <v>CDAF15</v>
      </c>
      <c r="E13" s="3"/>
      <c r="F13" s="3"/>
      <c r="G13" s="89">
        <v>0.5</v>
      </c>
      <c r="H13" s="3">
        <f t="shared" si="0"/>
        <v>0</v>
      </c>
      <c r="I13" s="3"/>
      <c r="J13" s="3">
        <f t="shared" si="1"/>
        <v>0</v>
      </c>
    </row>
    <row r="14" spans="1:10" ht="15.75">
      <c r="A14" s="71" t="s">
        <v>410</v>
      </c>
      <c r="B14" s="54" t="s">
        <v>10</v>
      </c>
      <c r="C14" s="5" t="s">
        <v>195</v>
      </c>
      <c r="D14" s="3" t="str">
        <f t="shared" si="2"/>
        <v>CDAF15</v>
      </c>
      <c r="E14" s="3"/>
      <c r="F14" s="3"/>
      <c r="G14" s="89">
        <v>0.5</v>
      </c>
      <c r="H14" s="3">
        <f t="shared" si="0"/>
        <v>0</v>
      </c>
      <c r="I14" s="3"/>
      <c r="J14" s="3">
        <f t="shared" si="1"/>
        <v>0</v>
      </c>
    </row>
    <row r="15" spans="1:10" ht="15.75">
      <c r="A15" s="71" t="s">
        <v>411</v>
      </c>
      <c r="B15" s="54" t="s">
        <v>11</v>
      </c>
      <c r="C15" s="5" t="s">
        <v>195</v>
      </c>
      <c r="D15" s="3" t="str">
        <f t="shared" si="2"/>
        <v>CDAF15</v>
      </c>
      <c r="E15" s="3"/>
      <c r="F15" s="3"/>
      <c r="G15" s="89">
        <v>0.5</v>
      </c>
      <c r="H15" s="3">
        <f t="shared" si="0"/>
        <v>0</v>
      </c>
      <c r="I15" s="3"/>
      <c r="J15" s="3">
        <f t="shared" si="1"/>
        <v>0</v>
      </c>
    </row>
    <row r="16" spans="1:10" ht="15.75">
      <c r="A16" s="71" t="s">
        <v>412</v>
      </c>
      <c r="B16" s="54" t="s">
        <v>12</v>
      </c>
      <c r="C16" s="5" t="s">
        <v>198</v>
      </c>
      <c r="D16" s="3" t="str">
        <f t="shared" si="2"/>
        <v>CDAF15</v>
      </c>
      <c r="E16" s="3"/>
      <c r="F16" s="3"/>
      <c r="G16" s="89">
        <v>0.5</v>
      </c>
      <c r="H16" s="3">
        <f t="shared" si="0"/>
        <v>0</v>
      </c>
      <c r="I16" s="3"/>
      <c r="J16" s="3">
        <f t="shared" si="1"/>
        <v>0</v>
      </c>
    </row>
    <row r="17" spans="1:10" ht="15.75">
      <c r="A17" s="71" t="s">
        <v>413</v>
      </c>
      <c r="B17" s="56" t="s">
        <v>13</v>
      </c>
      <c r="C17" s="5" t="s">
        <v>199</v>
      </c>
      <c r="D17" s="3" t="str">
        <f t="shared" si="2"/>
        <v>CDAF15</v>
      </c>
      <c r="E17" s="3"/>
      <c r="F17" s="3"/>
      <c r="G17" s="89">
        <v>0.5</v>
      </c>
      <c r="H17" s="3">
        <f t="shared" si="0"/>
        <v>0</v>
      </c>
      <c r="I17" s="3"/>
      <c r="J17" s="3">
        <f t="shared" si="1"/>
        <v>0</v>
      </c>
    </row>
    <row r="18" spans="1:10" ht="31.5">
      <c r="A18" s="71" t="s">
        <v>414</v>
      </c>
      <c r="B18" s="57" t="s">
        <v>14</v>
      </c>
      <c r="C18" s="5" t="s">
        <v>198</v>
      </c>
      <c r="D18" s="3" t="str">
        <f>+'[1]6.4.1Competenza professionale'!A23</f>
        <v>CDAF16</v>
      </c>
      <c r="E18" s="3"/>
      <c r="F18" s="3"/>
      <c r="G18" s="89">
        <v>0.5</v>
      </c>
      <c r="H18" s="3">
        <f t="shared" si="0"/>
        <v>0</v>
      </c>
      <c r="I18" s="3"/>
      <c r="J18" s="3">
        <f t="shared" si="1"/>
        <v>0</v>
      </c>
    </row>
    <row r="19" spans="1:10" ht="48.75" customHeight="1">
      <c r="A19" s="71" t="s">
        <v>415</v>
      </c>
      <c r="B19" s="6" t="s">
        <v>15</v>
      </c>
      <c r="C19" s="5" t="s">
        <v>198</v>
      </c>
      <c r="D19" s="3" t="str">
        <f>+'[1]6.4.1Competenza professionale'!A23</f>
        <v>CDAF16</v>
      </c>
      <c r="E19" s="3"/>
      <c r="F19" s="3"/>
      <c r="G19" s="89">
        <v>0.5</v>
      </c>
      <c r="H19" s="3">
        <f t="shared" si="0"/>
        <v>0</v>
      </c>
      <c r="I19" s="3"/>
      <c r="J19" s="3">
        <f t="shared" si="1"/>
        <v>0</v>
      </c>
    </row>
    <row r="20" spans="1:10" ht="15.75">
      <c r="A20" s="71" t="s">
        <v>416</v>
      </c>
      <c r="B20" s="54" t="s">
        <v>16</v>
      </c>
      <c r="C20" s="5" t="s">
        <v>198</v>
      </c>
      <c r="D20" s="3" t="str">
        <f>+'[1]6.4.1Competenza professionale'!A23</f>
        <v>CDAF16</v>
      </c>
      <c r="E20" s="3"/>
      <c r="F20" s="3"/>
      <c r="G20" s="89">
        <v>0.5</v>
      </c>
      <c r="H20" s="3">
        <f t="shared" si="0"/>
        <v>0</v>
      </c>
      <c r="I20" s="3"/>
      <c r="J20" s="3">
        <f t="shared" si="1"/>
        <v>0</v>
      </c>
    </row>
    <row r="21" spans="1:10" ht="15.75">
      <c r="A21" s="71"/>
      <c r="B21" s="17"/>
      <c r="C21" s="5"/>
      <c r="D21" s="3"/>
      <c r="E21" s="3"/>
      <c r="F21" s="3"/>
      <c r="G21" s="3"/>
      <c r="H21" s="3"/>
      <c r="I21" s="3"/>
      <c r="J21" s="3"/>
    </row>
    <row r="22" spans="1:10" ht="15.75">
      <c r="A22" s="71">
        <v>3</v>
      </c>
      <c r="B22" s="58" t="s">
        <v>18</v>
      </c>
      <c r="C22" s="5" t="s">
        <v>200</v>
      </c>
      <c r="D22" s="3"/>
      <c r="E22" s="78">
        <f>SUM(E23:E51)</f>
        <v>0</v>
      </c>
      <c r="F22" s="78">
        <f>SUM(F23:F51)</f>
        <v>0</v>
      </c>
      <c r="G22" s="85">
        <v>1</v>
      </c>
      <c r="H22" s="78">
        <f>SUM(H23:H51)</f>
        <v>0</v>
      </c>
      <c r="I22" s="93"/>
      <c r="J22" s="78">
        <f>SUM(J23:J51)</f>
        <v>0</v>
      </c>
    </row>
    <row r="23" spans="1:10" ht="15.75">
      <c r="A23" s="71" t="s">
        <v>417</v>
      </c>
      <c r="B23" s="54" t="s">
        <v>19</v>
      </c>
      <c r="C23" s="5" t="s">
        <v>201</v>
      </c>
      <c r="D23" s="3" t="str">
        <f>+'[1]6.4.1Competenza professionale'!A12</f>
        <v>CDAF5</v>
      </c>
      <c r="E23" s="3"/>
      <c r="F23" s="3"/>
      <c r="G23" s="90">
        <v>1</v>
      </c>
      <c r="H23" s="3">
        <f aca="true" t="shared" si="3" ref="H23:H51">+E23*F23*G23</f>
        <v>0</v>
      </c>
      <c r="I23" s="3"/>
      <c r="J23" s="3">
        <f aca="true" t="shared" si="4" ref="J23:J51">+F23*I23</f>
        <v>0</v>
      </c>
    </row>
    <row r="24" spans="1:10" ht="15.75">
      <c r="A24" s="71" t="s">
        <v>418</v>
      </c>
      <c r="B24" s="54" t="s">
        <v>20</v>
      </c>
      <c r="C24" s="5" t="s">
        <v>201</v>
      </c>
      <c r="D24" s="3" t="str">
        <f>+D23</f>
        <v>CDAF5</v>
      </c>
      <c r="E24" s="3"/>
      <c r="F24" s="3"/>
      <c r="G24" s="90">
        <v>1</v>
      </c>
      <c r="H24" s="3">
        <f t="shared" si="3"/>
        <v>0</v>
      </c>
      <c r="I24" s="3"/>
      <c r="J24" s="3">
        <f t="shared" si="4"/>
        <v>0</v>
      </c>
    </row>
    <row r="25" spans="1:10" ht="15.75">
      <c r="A25" s="71" t="s">
        <v>419</v>
      </c>
      <c r="B25" s="54" t="s">
        <v>21</v>
      </c>
      <c r="C25" s="5" t="s">
        <v>201</v>
      </c>
      <c r="D25" s="3" t="str">
        <f aca="true" t="shared" si="5" ref="D25:D43">+D24</f>
        <v>CDAF5</v>
      </c>
      <c r="E25" s="3"/>
      <c r="F25" s="3"/>
      <c r="G25" s="90">
        <v>1</v>
      </c>
      <c r="H25" s="3">
        <f t="shared" si="3"/>
        <v>0</v>
      </c>
      <c r="I25" s="3"/>
      <c r="J25" s="3">
        <f t="shared" si="4"/>
        <v>0</v>
      </c>
    </row>
    <row r="26" spans="1:10" ht="15.75">
      <c r="A26" s="71" t="s">
        <v>420</v>
      </c>
      <c r="B26" s="54" t="s">
        <v>22</v>
      </c>
      <c r="C26" s="5" t="s">
        <v>201</v>
      </c>
      <c r="D26" s="3" t="str">
        <f t="shared" si="5"/>
        <v>CDAF5</v>
      </c>
      <c r="E26" s="3"/>
      <c r="F26" s="3"/>
      <c r="G26" s="90">
        <v>1</v>
      </c>
      <c r="H26" s="3">
        <f t="shared" si="3"/>
        <v>0</v>
      </c>
      <c r="I26" s="3"/>
      <c r="J26" s="3">
        <f t="shared" si="4"/>
        <v>0</v>
      </c>
    </row>
    <row r="27" spans="1:10" ht="15.75">
      <c r="A27" s="71" t="s">
        <v>421</v>
      </c>
      <c r="B27" s="54" t="s">
        <v>23</v>
      </c>
      <c r="C27" s="5" t="s">
        <v>201</v>
      </c>
      <c r="D27" s="3" t="str">
        <f t="shared" si="5"/>
        <v>CDAF5</v>
      </c>
      <c r="E27" s="3"/>
      <c r="F27" s="3"/>
      <c r="G27" s="90">
        <v>1</v>
      </c>
      <c r="H27" s="3">
        <f t="shared" si="3"/>
        <v>0</v>
      </c>
      <c r="I27" s="3"/>
      <c r="J27" s="3">
        <f t="shared" si="4"/>
        <v>0</v>
      </c>
    </row>
    <row r="28" spans="1:10" ht="15.75">
      <c r="A28" s="71" t="s">
        <v>422</v>
      </c>
      <c r="B28" s="54" t="s">
        <v>24</v>
      </c>
      <c r="C28" s="5" t="s">
        <v>201</v>
      </c>
      <c r="D28" s="3" t="str">
        <f t="shared" si="5"/>
        <v>CDAF5</v>
      </c>
      <c r="E28" s="3"/>
      <c r="F28" s="3"/>
      <c r="G28" s="90">
        <v>1</v>
      </c>
      <c r="H28" s="3">
        <f t="shared" si="3"/>
        <v>0</v>
      </c>
      <c r="I28" s="3"/>
      <c r="J28" s="3">
        <f t="shared" si="4"/>
        <v>0</v>
      </c>
    </row>
    <row r="29" spans="1:10" ht="15.75">
      <c r="A29" s="71" t="s">
        <v>423</v>
      </c>
      <c r="B29" s="54" t="s">
        <v>25</v>
      </c>
      <c r="C29" s="5" t="s">
        <v>201</v>
      </c>
      <c r="D29" s="3" t="str">
        <f t="shared" si="5"/>
        <v>CDAF5</v>
      </c>
      <c r="E29" s="3"/>
      <c r="F29" s="3"/>
      <c r="G29" s="90">
        <v>1</v>
      </c>
      <c r="H29" s="3">
        <f t="shared" si="3"/>
        <v>0</v>
      </c>
      <c r="I29" s="3"/>
      <c r="J29" s="3">
        <f t="shared" si="4"/>
        <v>0</v>
      </c>
    </row>
    <row r="30" spans="1:10" ht="15.75">
      <c r="A30" s="71" t="s">
        <v>424</v>
      </c>
      <c r="B30" s="54" t="s">
        <v>26</v>
      </c>
      <c r="C30" s="5" t="s">
        <v>201</v>
      </c>
      <c r="D30" s="3" t="str">
        <f t="shared" si="5"/>
        <v>CDAF5</v>
      </c>
      <c r="E30" s="3"/>
      <c r="F30" s="3"/>
      <c r="G30" s="90">
        <v>1</v>
      </c>
      <c r="H30" s="3">
        <f t="shared" si="3"/>
        <v>0</v>
      </c>
      <c r="I30" s="3"/>
      <c r="J30" s="3">
        <f t="shared" si="4"/>
        <v>0</v>
      </c>
    </row>
    <row r="31" spans="1:10" ht="15.75">
      <c r="A31" s="71" t="s">
        <v>425</v>
      </c>
      <c r="B31" s="56" t="s">
        <v>27</v>
      </c>
      <c r="C31" s="5" t="s">
        <v>201</v>
      </c>
      <c r="D31" s="3" t="str">
        <f t="shared" si="5"/>
        <v>CDAF5</v>
      </c>
      <c r="E31" s="3"/>
      <c r="F31" s="3"/>
      <c r="G31" s="90">
        <v>1</v>
      </c>
      <c r="H31" s="3">
        <f t="shared" si="3"/>
        <v>0</v>
      </c>
      <c r="I31" s="3"/>
      <c r="J31" s="3">
        <f t="shared" si="4"/>
        <v>0</v>
      </c>
    </row>
    <row r="32" spans="1:10" ht="15.75">
      <c r="A32" s="71" t="s">
        <v>426</v>
      </c>
      <c r="B32" s="54" t="s">
        <v>28</v>
      </c>
      <c r="C32" s="5" t="s">
        <v>201</v>
      </c>
      <c r="D32" s="3" t="str">
        <f t="shared" si="5"/>
        <v>CDAF5</v>
      </c>
      <c r="E32" s="3"/>
      <c r="F32" s="3"/>
      <c r="G32" s="90">
        <v>1</v>
      </c>
      <c r="H32" s="3">
        <f t="shared" si="3"/>
        <v>0</v>
      </c>
      <c r="I32" s="3"/>
      <c r="J32" s="3">
        <f t="shared" si="4"/>
        <v>0</v>
      </c>
    </row>
    <row r="33" spans="1:10" ht="15.75">
      <c r="A33" s="71" t="s">
        <v>427</v>
      </c>
      <c r="B33" s="54" t="s">
        <v>29</v>
      </c>
      <c r="C33" s="5" t="s">
        <v>201</v>
      </c>
      <c r="D33" s="3" t="str">
        <f t="shared" si="5"/>
        <v>CDAF5</v>
      </c>
      <c r="E33" s="3"/>
      <c r="F33" s="3"/>
      <c r="G33" s="90">
        <v>1</v>
      </c>
      <c r="H33" s="3">
        <f t="shared" si="3"/>
        <v>0</v>
      </c>
      <c r="I33" s="3"/>
      <c r="J33" s="3">
        <f t="shared" si="4"/>
        <v>0</v>
      </c>
    </row>
    <row r="34" spans="1:10" ht="15.75">
      <c r="A34" s="71" t="s">
        <v>428</v>
      </c>
      <c r="B34" s="54" t="s">
        <v>30</v>
      </c>
      <c r="C34" s="5" t="s">
        <v>201</v>
      </c>
      <c r="D34" s="3" t="str">
        <f t="shared" si="5"/>
        <v>CDAF5</v>
      </c>
      <c r="E34" s="3"/>
      <c r="F34" s="3"/>
      <c r="G34" s="90">
        <v>1</v>
      </c>
      <c r="H34" s="3">
        <f t="shared" si="3"/>
        <v>0</v>
      </c>
      <c r="I34" s="3"/>
      <c r="J34" s="3">
        <f t="shared" si="4"/>
        <v>0</v>
      </c>
    </row>
    <row r="35" spans="1:10" ht="15.75">
      <c r="A35" s="71" t="s">
        <v>429</v>
      </c>
      <c r="B35" s="54" t="s">
        <v>31</v>
      </c>
      <c r="C35" s="5" t="s">
        <v>201</v>
      </c>
      <c r="D35" s="3" t="str">
        <f t="shared" si="5"/>
        <v>CDAF5</v>
      </c>
      <c r="E35" s="3"/>
      <c r="F35" s="3"/>
      <c r="G35" s="90">
        <v>1</v>
      </c>
      <c r="H35" s="3">
        <f t="shared" si="3"/>
        <v>0</v>
      </c>
      <c r="I35" s="3"/>
      <c r="J35" s="3">
        <f t="shared" si="4"/>
        <v>0</v>
      </c>
    </row>
    <row r="36" spans="1:10" ht="15.75">
      <c r="A36" s="71" t="s">
        <v>430</v>
      </c>
      <c r="B36" s="54" t="s">
        <v>32</v>
      </c>
      <c r="C36" s="5" t="s">
        <v>201</v>
      </c>
      <c r="D36" s="3" t="str">
        <f t="shared" si="5"/>
        <v>CDAF5</v>
      </c>
      <c r="E36" s="3"/>
      <c r="F36" s="3"/>
      <c r="G36" s="90">
        <v>1</v>
      </c>
      <c r="H36" s="3">
        <f t="shared" si="3"/>
        <v>0</v>
      </c>
      <c r="I36" s="3"/>
      <c r="J36" s="3">
        <f t="shared" si="4"/>
        <v>0</v>
      </c>
    </row>
    <row r="37" spans="1:10" ht="15.75">
      <c r="A37" s="71" t="s">
        <v>431</v>
      </c>
      <c r="B37" s="54" t="s">
        <v>33</v>
      </c>
      <c r="C37" s="5" t="s">
        <v>201</v>
      </c>
      <c r="D37" s="3" t="str">
        <f t="shared" si="5"/>
        <v>CDAF5</v>
      </c>
      <c r="E37" s="3"/>
      <c r="F37" s="3"/>
      <c r="G37" s="90">
        <v>1</v>
      </c>
      <c r="H37" s="3">
        <f t="shared" si="3"/>
        <v>0</v>
      </c>
      <c r="I37" s="3"/>
      <c r="J37" s="3">
        <f t="shared" si="4"/>
        <v>0</v>
      </c>
    </row>
    <row r="38" spans="1:10" ht="15.75">
      <c r="A38" s="71" t="s">
        <v>432</v>
      </c>
      <c r="B38" s="54" t="s">
        <v>34</v>
      </c>
      <c r="C38" s="5" t="s">
        <v>201</v>
      </c>
      <c r="D38" s="3" t="str">
        <f t="shared" si="5"/>
        <v>CDAF5</v>
      </c>
      <c r="E38" s="3"/>
      <c r="F38" s="3"/>
      <c r="G38" s="90">
        <v>1</v>
      </c>
      <c r="H38" s="3">
        <f t="shared" si="3"/>
        <v>0</v>
      </c>
      <c r="I38" s="3"/>
      <c r="J38" s="3">
        <f t="shared" si="4"/>
        <v>0</v>
      </c>
    </row>
    <row r="39" spans="1:10" ht="15.75">
      <c r="A39" s="71" t="s">
        <v>433</v>
      </c>
      <c r="B39" s="54" t="s">
        <v>35</v>
      </c>
      <c r="C39" s="5" t="s">
        <v>201</v>
      </c>
      <c r="D39" s="3" t="str">
        <f t="shared" si="5"/>
        <v>CDAF5</v>
      </c>
      <c r="E39" s="3"/>
      <c r="F39" s="3"/>
      <c r="G39" s="90">
        <v>1</v>
      </c>
      <c r="H39" s="3">
        <f t="shared" si="3"/>
        <v>0</v>
      </c>
      <c r="I39" s="3"/>
      <c r="J39" s="3">
        <f t="shared" si="4"/>
        <v>0</v>
      </c>
    </row>
    <row r="40" spans="1:10" ht="15.75">
      <c r="A40" s="71" t="s">
        <v>434</v>
      </c>
      <c r="B40" s="54" t="s">
        <v>36</v>
      </c>
      <c r="C40" s="5" t="s">
        <v>201</v>
      </c>
      <c r="D40" s="3" t="str">
        <f t="shared" si="5"/>
        <v>CDAF5</v>
      </c>
      <c r="E40" s="3"/>
      <c r="F40" s="3"/>
      <c r="G40" s="90">
        <v>1</v>
      </c>
      <c r="H40" s="3">
        <f t="shared" si="3"/>
        <v>0</v>
      </c>
      <c r="I40" s="3"/>
      <c r="J40" s="3">
        <f t="shared" si="4"/>
        <v>0</v>
      </c>
    </row>
    <row r="41" spans="1:10" ht="15.75">
      <c r="A41" s="71" t="s">
        <v>435</v>
      </c>
      <c r="B41" s="54" t="s">
        <v>37</v>
      </c>
      <c r="C41" s="5" t="s">
        <v>201</v>
      </c>
      <c r="D41" s="3" t="str">
        <f t="shared" si="5"/>
        <v>CDAF5</v>
      </c>
      <c r="E41" s="3"/>
      <c r="F41" s="3"/>
      <c r="G41" s="90">
        <v>1</v>
      </c>
      <c r="H41" s="3">
        <f t="shared" si="3"/>
        <v>0</v>
      </c>
      <c r="I41" s="3"/>
      <c r="J41" s="3">
        <f t="shared" si="4"/>
        <v>0</v>
      </c>
    </row>
    <row r="42" spans="1:10" ht="15.75">
      <c r="A42" s="71" t="s">
        <v>436</v>
      </c>
      <c r="B42" s="54" t="s">
        <v>38</v>
      </c>
      <c r="C42" s="5" t="s">
        <v>201</v>
      </c>
      <c r="D42" s="3" t="str">
        <f t="shared" si="5"/>
        <v>CDAF5</v>
      </c>
      <c r="E42" s="3"/>
      <c r="F42" s="3"/>
      <c r="G42" s="90">
        <v>1</v>
      </c>
      <c r="H42" s="3">
        <f t="shared" si="3"/>
        <v>0</v>
      </c>
      <c r="I42" s="3"/>
      <c r="J42" s="3">
        <f t="shared" si="4"/>
        <v>0</v>
      </c>
    </row>
    <row r="43" spans="1:10" ht="15.75">
      <c r="A43" s="71" t="s">
        <v>437</v>
      </c>
      <c r="B43" s="54" t="s">
        <v>39</v>
      </c>
      <c r="C43" s="5" t="s">
        <v>201</v>
      </c>
      <c r="D43" s="3" t="str">
        <f t="shared" si="5"/>
        <v>CDAF5</v>
      </c>
      <c r="E43" s="3"/>
      <c r="F43" s="3"/>
      <c r="G43" s="90">
        <v>1</v>
      </c>
      <c r="H43" s="3">
        <f t="shared" si="3"/>
        <v>0</v>
      </c>
      <c r="I43" s="3"/>
      <c r="J43" s="3">
        <f t="shared" si="4"/>
        <v>0</v>
      </c>
    </row>
    <row r="44" spans="1:10" ht="15.75">
      <c r="A44" s="71" t="s">
        <v>438</v>
      </c>
      <c r="B44" s="54" t="s">
        <v>40</v>
      </c>
      <c r="C44" s="5" t="s">
        <v>202</v>
      </c>
      <c r="D44" s="3" t="str">
        <f>+D43</f>
        <v>CDAF5</v>
      </c>
      <c r="E44" s="3"/>
      <c r="F44" s="3"/>
      <c r="G44" s="90">
        <v>1</v>
      </c>
      <c r="H44" s="3">
        <f t="shared" si="3"/>
        <v>0</v>
      </c>
      <c r="I44" s="3"/>
      <c r="J44" s="3">
        <f t="shared" si="4"/>
        <v>0</v>
      </c>
    </row>
    <row r="45" spans="1:10" ht="15.75">
      <c r="A45" s="71" t="s">
        <v>439</v>
      </c>
      <c r="B45" s="54" t="s">
        <v>41</v>
      </c>
      <c r="C45" s="5" t="s">
        <v>203</v>
      </c>
      <c r="D45" s="3" t="str">
        <f>+'[1]6.4.1Competenza professionale'!A13</f>
        <v>CDAF6</v>
      </c>
      <c r="E45" s="3"/>
      <c r="F45" s="3"/>
      <c r="G45" s="90">
        <v>1</v>
      </c>
      <c r="H45" s="3">
        <f t="shared" si="3"/>
        <v>0</v>
      </c>
      <c r="I45" s="3"/>
      <c r="J45" s="3">
        <f t="shared" si="4"/>
        <v>0</v>
      </c>
    </row>
    <row r="46" spans="1:10" ht="15.75">
      <c r="A46" s="71" t="s">
        <v>440</v>
      </c>
      <c r="B46" s="54" t="s">
        <v>42</v>
      </c>
      <c r="C46" s="5" t="s">
        <v>202</v>
      </c>
      <c r="D46" s="3" t="str">
        <f>+D45</f>
        <v>CDAF6</v>
      </c>
      <c r="E46" s="3"/>
      <c r="F46" s="3"/>
      <c r="G46" s="90">
        <v>1</v>
      </c>
      <c r="H46" s="3">
        <f t="shared" si="3"/>
        <v>0</v>
      </c>
      <c r="I46" s="3"/>
      <c r="J46" s="3">
        <f t="shared" si="4"/>
        <v>0</v>
      </c>
    </row>
    <row r="47" spans="1:10" ht="31.5">
      <c r="A47" s="71" t="s">
        <v>441</v>
      </c>
      <c r="B47" s="56" t="s">
        <v>43</v>
      </c>
      <c r="C47" s="5" t="s">
        <v>202</v>
      </c>
      <c r="D47" s="3" t="str">
        <f>+D46</f>
        <v>CDAF6</v>
      </c>
      <c r="E47" s="3"/>
      <c r="F47" s="3"/>
      <c r="G47" s="90">
        <v>1</v>
      </c>
      <c r="H47" s="3">
        <f t="shared" si="3"/>
        <v>0</v>
      </c>
      <c r="I47" s="3"/>
      <c r="J47" s="3">
        <f t="shared" si="4"/>
        <v>0</v>
      </c>
    </row>
    <row r="48" spans="1:10" ht="15.75">
      <c r="A48" s="71" t="s">
        <v>442</v>
      </c>
      <c r="B48" s="56" t="s">
        <v>44</v>
      </c>
      <c r="C48" s="5" t="s">
        <v>202</v>
      </c>
      <c r="D48" s="3" t="str">
        <f>+D47</f>
        <v>CDAF6</v>
      </c>
      <c r="E48" s="3"/>
      <c r="F48" s="3"/>
      <c r="G48" s="90">
        <v>1</v>
      </c>
      <c r="H48" s="3">
        <f t="shared" si="3"/>
        <v>0</v>
      </c>
      <c r="I48" s="3"/>
      <c r="J48" s="3">
        <f t="shared" si="4"/>
        <v>0</v>
      </c>
    </row>
    <row r="49" spans="1:10" ht="15.75">
      <c r="A49" s="71" t="s">
        <v>443</v>
      </c>
      <c r="B49" s="59" t="s">
        <v>45</v>
      </c>
      <c r="C49" s="5" t="s">
        <v>203</v>
      </c>
      <c r="D49" s="3" t="str">
        <f>+D48</f>
        <v>CDAF6</v>
      </c>
      <c r="E49" s="3"/>
      <c r="F49" s="3"/>
      <c r="G49" s="90">
        <v>1</v>
      </c>
      <c r="H49" s="3">
        <f t="shared" si="3"/>
        <v>0</v>
      </c>
      <c r="I49" s="3"/>
      <c r="J49" s="3">
        <f t="shared" si="4"/>
        <v>0</v>
      </c>
    </row>
    <row r="50" spans="1:10" ht="15.75">
      <c r="A50" s="71" t="s">
        <v>444</v>
      </c>
      <c r="B50" s="59" t="s">
        <v>46</v>
      </c>
      <c r="C50" s="5" t="s">
        <v>203</v>
      </c>
      <c r="D50" s="3" t="str">
        <f>+D49</f>
        <v>CDAF6</v>
      </c>
      <c r="E50" s="3"/>
      <c r="F50" s="3"/>
      <c r="G50" s="90">
        <v>1</v>
      </c>
      <c r="H50" s="3">
        <f t="shared" si="3"/>
        <v>0</v>
      </c>
      <c r="I50" s="3"/>
      <c r="J50" s="3">
        <f t="shared" si="4"/>
        <v>0</v>
      </c>
    </row>
    <row r="51" spans="1:10" ht="15.75">
      <c r="A51" s="71" t="s">
        <v>445</v>
      </c>
      <c r="B51" s="59" t="s">
        <v>239</v>
      </c>
      <c r="C51" s="5" t="str">
        <f>+C43</f>
        <v>QaII.01-QaII.03</v>
      </c>
      <c r="D51" s="3" t="str">
        <f>+'[1]6.4.1Competenza professionale'!A19</f>
        <v>CDAF12</v>
      </c>
      <c r="E51" s="3"/>
      <c r="F51" s="3"/>
      <c r="G51" s="90">
        <v>1</v>
      </c>
      <c r="H51" s="3">
        <f t="shared" si="3"/>
        <v>0</v>
      </c>
      <c r="I51" s="3"/>
      <c r="J51" s="3">
        <f t="shared" si="4"/>
        <v>0</v>
      </c>
    </row>
    <row r="52" spans="1:10" ht="15.75">
      <c r="A52" s="71">
        <v>4</v>
      </c>
      <c r="B52" s="52" t="s">
        <v>48</v>
      </c>
      <c r="C52" s="5"/>
      <c r="D52" s="3"/>
      <c r="E52" s="78">
        <f>SUM(E53:E83)</f>
        <v>0</v>
      </c>
      <c r="F52" s="78">
        <f>SUM(F53:F83)</f>
        <v>0</v>
      </c>
      <c r="G52" s="87">
        <v>0.25</v>
      </c>
      <c r="H52" s="78">
        <f>SUM(H53:H83)</f>
        <v>0</v>
      </c>
      <c r="I52" s="93"/>
      <c r="J52" s="78">
        <f>SUM(J53:J83)</f>
        <v>0</v>
      </c>
    </row>
    <row r="53" spans="1:10" ht="15.75">
      <c r="A53" s="71" t="s">
        <v>446</v>
      </c>
      <c r="B53" s="54" t="s">
        <v>49</v>
      </c>
      <c r="C53" s="5" t="s">
        <v>204</v>
      </c>
      <c r="D53" s="3" t="str">
        <f>+'[1]6.4.1Competenza professionale'!A8</f>
        <v>CDAF1</v>
      </c>
      <c r="E53" s="3"/>
      <c r="F53" s="3"/>
      <c r="G53" s="91">
        <v>0.25</v>
      </c>
      <c r="H53" s="3">
        <f>+E53*F53*G53</f>
        <v>0</v>
      </c>
      <c r="I53" s="3"/>
      <c r="J53" s="3">
        <f>+F53*I53</f>
        <v>0</v>
      </c>
    </row>
    <row r="54" spans="1:10" ht="15.75">
      <c r="A54" s="71" t="s">
        <v>447</v>
      </c>
      <c r="B54" s="54" t="s">
        <v>50</v>
      </c>
      <c r="C54" s="5" t="s">
        <v>205</v>
      </c>
      <c r="D54" s="3" t="str">
        <f>+D53</f>
        <v>CDAF1</v>
      </c>
      <c r="E54" s="3"/>
      <c r="F54" s="3"/>
      <c r="G54" s="91">
        <v>0.25</v>
      </c>
      <c r="H54" s="3">
        <f aca="true" t="shared" si="6" ref="H54:H83">+E54*F54*G54</f>
        <v>0</v>
      </c>
      <c r="I54" s="3"/>
      <c r="J54" s="3">
        <f aca="true" t="shared" si="7" ref="J54:J83">+F54*I54</f>
        <v>0</v>
      </c>
    </row>
    <row r="55" spans="1:10" ht="15.75">
      <c r="A55" s="71" t="s">
        <v>448</v>
      </c>
      <c r="B55" s="54" t="s">
        <v>240</v>
      </c>
      <c r="C55" s="5" t="s">
        <v>206</v>
      </c>
      <c r="D55" s="3" t="str">
        <f>+D54</f>
        <v>CDAF1</v>
      </c>
      <c r="E55" s="3"/>
      <c r="F55" s="3"/>
      <c r="G55" s="91">
        <v>0.25</v>
      </c>
      <c r="H55" s="3">
        <f t="shared" si="6"/>
        <v>0</v>
      </c>
      <c r="I55" s="3"/>
      <c r="J55" s="3">
        <f t="shared" si="7"/>
        <v>0</v>
      </c>
    </row>
    <row r="56" spans="1:10" ht="15.75">
      <c r="A56" s="71" t="s">
        <v>449</v>
      </c>
      <c r="B56" s="6" t="s">
        <v>51</v>
      </c>
      <c r="C56" s="5" t="s">
        <v>206</v>
      </c>
      <c r="D56" s="3" t="str">
        <f>+'[1]6.4.1Competenza professionale'!A16</f>
        <v>CDAF9</v>
      </c>
      <c r="E56" s="3"/>
      <c r="F56" s="3"/>
      <c r="G56" s="91">
        <v>0.25</v>
      </c>
      <c r="H56" s="3">
        <f t="shared" si="6"/>
        <v>0</v>
      </c>
      <c r="I56" s="3"/>
      <c r="J56" s="3">
        <f t="shared" si="7"/>
        <v>0</v>
      </c>
    </row>
    <row r="57" spans="1:10" ht="15.75">
      <c r="A57" s="71" t="s">
        <v>450</v>
      </c>
      <c r="B57" s="54" t="s">
        <v>52</v>
      </c>
      <c r="C57" s="5" t="s">
        <v>207</v>
      </c>
      <c r="D57" s="3" t="str">
        <f>+D53</f>
        <v>CDAF1</v>
      </c>
      <c r="E57" s="3"/>
      <c r="F57" s="3"/>
      <c r="G57" s="91">
        <v>0.25</v>
      </c>
      <c r="H57" s="3">
        <f t="shared" si="6"/>
        <v>0</v>
      </c>
      <c r="I57" s="3"/>
      <c r="J57" s="3">
        <f t="shared" si="7"/>
        <v>0</v>
      </c>
    </row>
    <row r="58" spans="1:10" ht="15.75">
      <c r="A58" s="71" t="s">
        <v>451</v>
      </c>
      <c r="B58" s="54" t="s">
        <v>53</v>
      </c>
      <c r="C58" s="5" t="s">
        <v>206</v>
      </c>
      <c r="D58" s="3" t="str">
        <f>+D45</f>
        <v>CDAF6</v>
      </c>
      <c r="E58" s="3"/>
      <c r="F58" s="3"/>
      <c r="G58" s="91">
        <v>0.25</v>
      </c>
      <c r="H58" s="3">
        <f t="shared" si="6"/>
        <v>0</v>
      </c>
      <c r="I58" s="3"/>
      <c r="J58" s="3">
        <f t="shared" si="7"/>
        <v>0</v>
      </c>
    </row>
    <row r="59" spans="1:10" ht="15.75">
      <c r="A59" s="71" t="s">
        <v>452</v>
      </c>
      <c r="B59" s="54" t="s">
        <v>54</v>
      </c>
      <c r="C59" s="5" t="s">
        <v>206</v>
      </c>
      <c r="D59" s="3" t="str">
        <f>+D46</f>
        <v>CDAF6</v>
      </c>
      <c r="E59" s="3"/>
      <c r="F59" s="3"/>
      <c r="G59" s="91">
        <v>0.25</v>
      </c>
      <c r="H59" s="3">
        <f t="shared" si="6"/>
        <v>0</v>
      </c>
      <c r="I59" s="3"/>
      <c r="J59" s="3">
        <f t="shared" si="7"/>
        <v>0</v>
      </c>
    </row>
    <row r="60" spans="1:10" ht="15.75">
      <c r="A60" s="71" t="s">
        <v>453</v>
      </c>
      <c r="B60" s="54" t="s">
        <v>55</v>
      </c>
      <c r="C60" s="5" t="s">
        <v>206</v>
      </c>
      <c r="D60" s="3" t="str">
        <f>+D47</f>
        <v>CDAF6</v>
      </c>
      <c r="E60" s="3"/>
      <c r="F60" s="3"/>
      <c r="G60" s="91">
        <v>0.25</v>
      </c>
      <c r="H60" s="3">
        <f t="shared" si="6"/>
        <v>0</v>
      </c>
      <c r="I60" s="3"/>
      <c r="J60" s="3">
        <f t="shared" si="7"/>
        <v>0</v>
      </c>
    </row>
    <row r="61" spans="1:10" ht="15.75">
      <c r="A61" s="71" t="s">
        <v>454</v>
      </c>
      <c r="B61" s="54" t="s">
        <v>56</v>
      </c>
      <c r="C61" s="5" t="s">
        <v>206</v>
      </c>
      <c r="D61" s="3" t="str">
        <f>+D48</f>
        <v>CDAF6</v>
      </c>
      <c r="E61" s="3"/>
      <c r="F61" s="3"/>
      <c r="G61" s="91">
        <v>0.25</v>
      </c>
      <c r="H61" s="3">
        <f t="shared" si="6"/>
        <v>0</v>
      </c>
      <c r="I61" s="3"/>
      <c r="J61" s="3">
        <f t="shared" si="7"/>
        <v>0</v>
      </c>
    </row>
    <row r="62" spans="1:10" ht="15.75">
      <c r="A62" s="71" t="s">
        <v>455</v>
      </c>
      <c r="B62" s="54" t="s">
        <v>57</v>
      </c>
      <c r="C62" s="5" t="s">
        <v>206</v>
      </c>
      <c r="D62" s="3" t="str">
        <f>+D49</f>
        <v>CDAF6</v>
      </c>
      <c r="E62" s="3"/>
      <c r="F62" s="3"/>
      <c r="G62" s="91">
        <v>0.25</v>
      </c>
      <c r="H62" s="3">
        <f t="shared" si="6"/>
        <v>0</v>
      </c>
      <c r="I62" s="3"/>
      <c r="J62" s="3">
        <f t="shared" si="7"/>
        <v>0</v>
      </c>
    </row>
    <row r="63" spans="1:10" ht="15.75">
      <c r="A63" s="71" t="s">
        <v>456</v>
      </c>
      <c r="B63" s="54" t="s">
        <v>58</v>
      </c>
      <c r="C63" s="5" t="s">
        <v>206</v>
      </c>
      <c r="D63" s="3" t="str">
        <f>+D56</f>
        <v>CDAF9</v>
      </c>
      <c r="E63" s="3"/>
      <c r="F63" s="3"/>
      <c r="G63" s="91">
        <v>0.25</v>
      </c>
      <c r="H63" s="3">
        <f t="shared" si="6"/>
        <v>0</v>
      </c>
      <c r="I63" s="3"/>
      <c r="J63" s="3">
        <f t="shared" si="7"/>
        <v>0</v>
      </c>
    </row>
    <row r="64" spans="1:10" ht="15.75">
      <c r="A64" s="71" t="s">
        <v>457</v>
      </c>
      <c r="B64" s="54" t="s">
        <v>59</v>
      </c>
      <c r="C64" s="5" t="s">
        <v>206</v>
      </c>
      <c r="D64" s="3" t="str">
        <f>+D62</f>
        <v>CDAF6</v>
      </c>
      <c r="E64" s="3"/>
      <c r="F64" s="3"/>
      <c r="G64" s="91">
        <v>0.25</v>
      </c>
      <c r="H64" s="3">
        <f t="shared" si="6"/>
        <v>0</v>
      </c>
      <c r="I64" s="3"/>
      <c r="J64" s="3">
        <f t="shared" si="7"/>
        <v>0</v>
      </c>
    </row>
    <row r="65" spans="1:10" ht="47.25">
      <c r="A65" s="71" t="s">
        <v>458</v>
      </c>
      <c r="B65" s="6" t="s">
        <v>60</v>
      </c>
      <c r="C65" s="5" t="s">
        <v>208</v>
      </c>
      <c r="D65" s="3" t="str">
        <f>+D18</f>
        <v>CDAF16</v>
      </c>
      <c r="E65" s="3"/>
      <c r="F65" s="3"/>
      <c r="G65" s="91">
        <v>0.25</v>
      </c>
      <c r="H65" s="3">
        <f t="shared" si="6"/>
        <v>0</v>
      </c>
      <c r="I65" s="3"/>
      <c r="J65" s="3">
        <f t="shared" si="7"/>
        <v>0</v>
      </c>
    </row>
    <row r="66" spans="1:10" ht="15.75">
      <c r="A66" s="71" t="s">
        <v>459</v>
      </c>
      <c r="B66" s="54" t="s">
        <v>61</v>
      </c>
      <c r="C66" s="5" t="s">
        <v>206</v>
      </c>
      <c r="D66" s="3" t="str">
        <f>+'[1]6.4.1Competenza professionale'!A29</f>
        <v>CDAF22</v>
      </c>
      <c r="E66" s="3"/>
      <c r="F66" s="3"/>
      <c r="G66" s="91">
        <v>0.25</v>
      </c>
      <c r="H66" s="3">
        <f t="shared" si="6"/>
        <v>0</v>
      </c>
      <c r="I66" s="3"/>
      <c r="J66" s="3">
        <f t="shared" si="7"/>
        <v>0</v>
      </c>
    </row>
    <row r="67" spans="1:10" ht="15.75">
      <c r="A67" s="71" t="s">
        <v>460</v>
      </c>
      <c r="B67" s="54" t="s">
        <v>62</v>
      </c>
      <c r="C67" s="5" t="s">
        <v>209</v>
      </c>
      <c r="D67" s="3" t="str">
        <f>+'[1]6.4.1Competenza professionale'!A21</f>
        <v>CDAF14</v>
      </c>
      <c r="E67" s="3"/>
      <c r="F67" s="3"/>
      <c r="G67" s="91">
        <v>0.25</v>
      </c>
      <c r="H67" s="3">
        <f t="shared" si="6"/>
        <v>0</v>
      </c>
      <c r="I67" s="3"/>
      <c r="J67" s="3">
        <f t="shared" si="7"/>
        <v>0</v>
      </c>
    </row>
    <row r="68" spans="1:10" ht="31.5">
      <c r="A68" s="71" t="s">
        <v>461</v>
      </c>
      <c r="B68" s="6" t="s">
        <v>63</v>
      </c>
      <c r="C68" s="5" t="s">
        <v>210</v>
      </c>
      <c r="D68" s="3" t="str">
        <f>+'[1]6.4.1Competenza professionale'!A32</f>
        <v>CDAF25</v>
      </c>
      <c r="E68" s="3"/>
      <c r="F68" s="3"/>
      <c r="G68" s="91">
        <v>0.25</v>
      </c>
      <c r="H68" s="3">
        <f t="shared" si="6"/>
        <v>0</v>
      </c>
      <c r="I68" s="3"/>
      <c r="J68" s="3">
        <f t="shared" si="7"/>
        <v>0</v>
      </c>
    </row>
    <row r="69" spans="1:10" ht="15.75">
      <c r="A69" s="71" t="s">
        <v>462</v>
      </c>
      <c r="B69" s="54" t="s">
        <v>64</v>
      </c>
      <c r="C69" s="5" t="s">
        <v>196</v>
      </c>
      <c r="D69" s="3" t="str">
        <f>+'[1]6.4.1Competenza professionale'!A12</f>
        <v>CDAF5</v>
      </c>
      <c r="E69" s="3"/>
      <c r="F69" s="3"/>
      <c r="G69" s="91">
        <v>0.25</v>
      </c>
      <c r="H69" s="3">
        <f t="shared" si="6"/>
        <v>0</v>
      </c>
      <c r="I69" s="3"/>
      <c r="J69" s="3">
        <f t="shared" si="7"/>
        <v>0</v>
      </c>
    </row>
    <row r="70" spans="1:10" ht="15.75">
      <c r="A70" s="71" t="s">
        <v>463</v>
      </c>
      <c r="B70" s="54" t="s">
        <v>65</v>
      </c>
      <c r="C70" s="5" t="s">
        <v>211</v>
      </c>
      <c r="D70" s="3" t="str">
        <f>+'[1]6.4.1Competenza professionale'!A8</f>
        <v>CDAF1</v>
      </c>
      <c r="E70" s="3"/>
      <c r="F70" s="3"/>
      <c r="G70" s="91">
        <v>0.25</v>
      </c>
      <c r="H70" s="3">
        <f t="shared" si="6"/>
        <v>0</v>
      </c>
      <c r="I70" s="3"/>
      <c r="J70" s="3">
        <f t="shared" si="7"/>
        <v>0</v>
      </c>
    </row>
    <row r="71" spans="1:10" ht="15.75">
      <c r="A71" s="71" t="s">
        <v>464</v>
      </c>
      <c r="B71" s="54" t="s">
        <v>241</v>
      </c>
      <c r="C71" s="5" t="s">
        <v>211</v>
      </c>
      <c r="D71" s="3" t="str">
        <f>+D70</f>
        <v>CDAF1</v>
      </c>
      <c r="E71" s="3"/>
      <c r="F71" s="3"/>
      <c r="G71" s="91">
        <v>0.25</v>
      </c>
      <c r="H71" s="3">
        <f t="shared" si="6"/>
        <v>0</v>
      </c>
      <c r="I71" s="3"/>
      <c r="J71" s="3">
        <f t="shared" si="7"/>
        <v>0</v>
      </c>
    </row>
    <row r="72" spans="1:10" ht="15.75">
      <c r="A72" s="71" t="s">
        <v>465</v>
      </c>
      <c r="B72" s="54" t="s">
        <v>66</v>
      </c>
      <c r="C72" s="5" t="s">
        <v>196</v>
      </c>
      <c r="D72" s="3" t="str">
        <f>+D68</f>
        <v>CDAF25</v>
      </c>
      <c r="E72" s="3"/>
      <c r="F72" s="3"/>
      <c r="G72" s="91">
        <v>0.25</v>
      </c>
      <c r="H72" s="3">
        <f t="shared" si="6"/>
        <v>0</v>
      </c>
      <c r="I72" s="3"/>
      <c r="J72" s="3">
        <f t="shared" si="7"/>
        <v>0</v>
      </c>
    </row>
    <row r="73" spans="1:10" ht="15.75">
      <c r="A73" s="71" t="s">
        <v>466</v>
      </c>
      <c r="B73" s="54" t="s">
        <v>67</v>
      </c>
      <c r="C73" s="5" t="s">
        <v>212</v>
      </c>
      <c r="D73" s="3" t="str">
        <f>+D72</f>
        <v>CDAF25</v>
      </c>
      <c r="E73" s="3"/>
      <c r="F73" s="3"/>
      <c r="G73" s="91">
        <v>0.25</v>
      </c>
      <c r="H73" s="3">
        <f t="shared" si="6"/>
        <v>0</v>
      </c>
      <c r="I73" s="3"/>
      <c r="J73" s="3">
        <f t="shared" si="7"/>
        <v>0</v>
      </c>
    </row>
    <row r="74" spans="1:10" ht="47.25">
      <c r="A74" s="71" t="s">
        <v>467</v>
      </c>
      <c r="B74" s="6" t="s">
        <v>68</v>
      </c>
      <c r="C74" s="5" t="s">
        <v>213</v>
      </c>
      <c r="D74" s="3" t="str">
        <f>+'[1]6.4.1Competenza professionale'!A9</f>
        <v>CDAF2</v>
      </c>
      <c r="E74" s="3"/>
      <c r="F74" s="3"/>
      <c r="G74" s="91">
        <v>0.25</v>
      </c>
      <c r="H74" s="3">
        <f t="shared" si="6"/>
        <v>0</v>
      </c>
      <c r="I74" s="3"/>
      <c r="J74" s="3">
        <f t="shared" si="7"/>
        <v>0</v>
      </c>
    </row>
    <row r="75" spans="1:10" ht="47.25">
      <c r="A75" s="71" t="s">
        <v>468</v>
      </c>
      <c r="B75" s="6" t="s">
        <v>69</v>
      </c>
      <c r="C75" s="5" t="s">
        <v>213</v>
      </c>
      <c r="D75" s="3" t="str">
        <f>+D68</f>
        <v>CDAF25</v>
      </c>
      <c r="E75" s="3"/>
      <c r="F75" s="3"/>
      <c r="G75" s="91">
        <v>0.25</v>
      </c>
      <c r="H75" s="3">
        <f t="shared" si="6"/>
        <v>0</v>
      </c>
      <c r="I75" s="3"/>
      <c r="J75" s="3">
        <f t="shared" si="7"/>
        <v>0</v>
      </c>
    </row>
    <row r="76" spans="1:10" ht="47.25">
      <c r="A76" s="71" t="s">
        <v>469</v>
      </c>
      <c r="B76" s="6" t="s">
        <v>70</v>
      </c>
      <c r="C76" s="26" t="s">
        <v>208</v>
      </c>
      <c r="D76" s="3" t="str">
        <f>+'[1]6.4.1Competenza professionale'!A19</f>
        <v>CDAF12</v>
      </c>
      <c r="E76" s="3"/>
      <c r="F76" s="3"/>
      <c r="G76" s="91">
        <v>0.25</v>
      </c>
      <c r="H76" s="3">
        <f t="shared" si="6"/>
        <v>0</v>
      </c>
      <c r="I76" s="3"/>
      <c r="J76" s="3">
        <f t="shared" si="7"/>
        <v>0</v>
      </c>
    </row>
    <row r="77" spans="1:10" ht="47.25">
      <c r="A77" s="71" t="s">
        <v>470</v>
      </c>
      <c r="B77" s="6" t="s">
        <v>71</v>
      </c>
      <c r="C77" s="26" t="s">
        <v>208</v>
      </c>
      <c r="D77" s="3" t="str">
        <f>+D69</f>
        <v>CDAF5</v>
      </c>
      <c r="E77" s="3"/>
      <c r="F77" s="3"/>
      <c r="G77" s="91">
        <v>0.25</v>
      </c>
      <c r="H77" s="3">
        <f t="shared" si="6"/>
        <v>0</v>
      </c>
      <c r="I77" s="3"/>
      <c r="J77" s="3">
        <f t="shared" si="7"/>
        <v>0</v>
      </c>
    </row>
    <row r="78" spans="1:10" ht="15.75">
      <c r="A78" s="71" t="s">
        <v>471</v>
      </c>
      <c r="B78" s="54" t="s">
        <v>72</v>
      </c>
      <c r="C78" s="26" t="s">
        <v>214</v>
      </c>
      <c r="D78" s="3" t="str">
        <f>+'[1]6.4.1Competenza professionale'!A29</f>
        <v>CDAF22</v>
      </c>
      <c r="E78" s="3"/>
      <c r="F78" s="3"/>
      <c r="G78" s="91">
        <v>0.25</v>
      </c>
      <c r="H78" s="3">
        <f t="shared" si="6"/>
        <v>0</v>
      </c>
      <c r="I78" s="3"/>
      <c r="J78" s="3">
        <f t="shared" si="7"/>
        <v>0</v>
      </c>
    </row>
    <row r="79" spans="1:10" ht="15.75">
      <c r="A79" s="71" t="s">
        <v>472</v>
      </c>
      <c r="B79" s="54" t="s">
        <v>73</v>
      </c>
      <c r="C79" s="26" t="s">
        <v>214</v>
      </c>
      <c r="D79" s="3" t="str">
        <f>+'[1]6.4.1Competenza professionale'!A13</f>
        <v>CDAF6</v>
      </c>
      <c r="E79" s="3"/>
      <c r="F79" s="3"/>
      <c r="G79" s="91">
        <v>0.25</v>
      </c>
      <c r="H79" s="3">
        <f t="shared" si="6"/>
        <v>0</v>
      </c>
      <c r="I79" s="3"/>
      <c r="J79" s="3">
        <f t="shared" si="7"/>
        <v>0</v>
      </c>
    </row>
    <row r="80" spans="1:10" ht="15.75">
      <c r="A80" s="71" t="s">
        <v>473</v>
      </c>
      <c r="B80" s="54" t="s">
        <v>74</v>
      </c>
      <c r="C80" s="26" t="s">
        <v>214</v>
      </c>
      <c r="D80" s="3"/>
      <c r="E80" s="3"/>
      <c r="F80" s="3"/>
      <c r="G80" s="91">
        <v>0.25</v>
      </c>
      <c r="H80" s="3">
        <f t="shared" si="6"/>
        <v>0</v>
      </c>
      <c r="I80" s="3"/>
      <c r="J80" s="3">
        <f t="shared" si="7"/>
        <v>0</v>
      </c>
    </row>
    <row r="81" spans="1:10" ht="63">
      <c r="A81" s="71" t="s">
        <v>474</v>
      </c>
      <c r="B81" s="6" t="s">
        <v>75</v>
      </c>
      <c r="C81" s="5" t="s">
        <v>215</v>
      </c>
      <c r="D81" s="3" t="str">
        <f>+'[1]6.4.1Competenza professionale'!A21</f>
        <v>CDAF14</v>
      </c>
      <c r="E81" s="3"/>
      <c r="F81" s="3"/>
      <c r="G81" s="91">
        <v>0.25</v>
      </c>
      <c r="H81" s="3">
        <f t="shared" si="6"/>
        <v>0</v>
      </c>
      <c r="I81" s="3"/>
      <c r="J81" s="3">
        <f t="shared" si="7"/>
        <v>0</v>
      </c>
    </row>
    <row r="82" spans="1:10" ht="15.75">
      <c r="A82" s="71" t="s">
        <v>475</v>
      </c>
      <c r="B82" s="54" t="s">
        <v>76</v>
      </c>
      <c r="C82" s="5" t="s">
        <v>216</v>
      </c>
      <c r="D82" s="3" t="str">
        <f>+D81</f>
        <v>CDAF14</v>
      </c>
      <c r="E82" s="3"/>
      <c r="F82" s="3"/>
      <c r="G82" s="91">
        <v>0.25</v>
      </c>
      <c r="H82" s="3">
        <f t="shared" si="6"/>
        <v>0</v>
      </c>
      <c r="I82" s="3"/>
      <c r="J82" s="3">
        <f t="shared" si="7"/>
        <v>0</v>
      </c>
    </row>
    <row r="83" spans="1:10" ht="16.5" thickBot="1">
      <c r="A83" s="71" t="s">
        <v>476</v>
      </c>
      <c r="B83" s="60" t="s">
        <v>77</v>
      </c>
      <c r="C83" s="5" t="s">
        <v>216</v>
      </c>
      <c r="D83" s="3" t="str">
        <f>+D81</f>
        <v>CDAF14</v>
      </c>
      <c r="E83" s="3"/>
      <c r="F83" s="3"/>
      <c r="G83" s="91">
        <v>0.25</v>
      </c>
      <c r="H83" s="3">
        <f t="shared" si="6"/>
        <v>0</v>
      </c>
      <c r="I83" s="3"/>
      <c r="J83" s="3">
        <f t="shared" si="7"/>
        <v>0</v>
      </c>
    </row>
    <row r="84" spans="1:10" ht="15.75">
      <c r="A84" s="71">
        <v>5</v>
      </c>
      <c r="B84" s="52" t="s">
        <v>78</v>
      </c>
      <c r="C84" s="5"/>
      <c r="D84" s="3"/>
      <c r="E84" s="83">
        <f>SUM(E85:E96)</f>
        <v>0</v>
      </c>
      <c r="F84" s="83">
        <f>SUM(F85:F96)</f>
        <v>0</v>
      </c>
      <c r="G84" s="88">
        <v>1</v>
      </c>
      <c r="H84" s="83">
        <f>SUM(H85:H96)</f>
        <v>0</v>
      </c>
      <c r="I84" s="93"/>
      <c r="J84" s="83">
        <f>SUM(J85:J96)</f>
        <v>0</v>
      </c>
    </row>
    <row r="85" spans="1:10" ht="15.75">
      <c r="A85" s="71" t="s">
        <v>477</v>
      </c>
      <c r="B85" s="54" t="s">
        <v>79</v>
      </c>
      <c r="C85" s="5" t="s">
        <v>217</v>
      </c>
      <c r="D85" s="3" t="str">
        <f>+'[1]6.4.1Competenza professionale'!A20</f>
        <v>CDAF13</v>
      </c>
      <c r="E85" s="3"/>
      <c r="F85" s="3"/>
      <c r="G85" s="91">
        <v>1</v>
      </c>
      <c r="H85" s="3">
        <f>+E85*F85*G85</f>
        <v>0</v>
      </c>
      <c r="I85" s="3"/>
      <c r="J85" s="3">
        <f>+F85*I85</f>
        <v>0</v>
      </c>
    </row>
    <row r="86" spans="1:10" ht="15.75">
      <c r="A86" s="71" t="s">
        <v>478</v>
      </c>
      <c r="B86" s="54" t="s">
        <v>80</v>
      </c>
      <c r="C86" s="5" t="s">
        <v>217</v>
      </c>
      <c r="D86" s="3" t="str">
        <f>+D85</f>
        <v>CDAF13</v>
      </c>
      <c r="E86" s="3"/>
      <c r="F86" s="3"/>
      <c r="G86" s="91">
        <v>1</v>
      </c>
      <c r="H86" s="3">
        <f aca="true" t="shared" si="8" ref="H86:H96">+E86*F86*G86</f>
        <v>0</v>
      </c>
      <c r="I86" s="3"/>
      <c r="J86" s="3">
        <f aca="true" t="shared" si="9" ref="J86:J96">+F86*I86</f>
        <v>0</v>
      </c>
    </row>
    <row r="87" spans="1:10" ht="15.75">
      <c r="A87" s="71" t="s">
        <v>479</v>
      </c>
      <c r="B87" s="54" t="s">
        <v>81</v>
      </c>
      <c r="C87" s="5" t="s">
        <v>217</v>
      </c>
      <c r="D87" s="3" t="str">
        <f>+D86</f>
        <v>CDAF13</v>
      </c>
      <c r="E87" s="3"/>
      <c r="F87" s="3"/>
      <c r="G87" s="91">
        <v>1</v>
      </c>
      <c r="H87" s="3">
        <f t="shared" si="8"/>
        <v>0</v>
      </c>
      <c r="I87" s="3"/>
      <c r="J87" s="3">
        <f t="shared" si="9"/>
        <v>0</v>
      </c>
    </row>
    <row r="88" spans="1:10" ht="15.75">
      <c r="A88" s="71" t="s">
        <v>480</v>
      </c>
      <c r="B88" s="54" t="s">
        <v>82</v>
      </c>
      <c r="C88" s="5" t="s">
        <v>217</v>
      </c>
      <c r="D88" s="3" t="str">
        <f>+D87</f>
        <v>CDAF13</v>
      </c>
      <c r="E88" s="3"/>
      <c r="F88" s="3"/>
      <c r="G88" s="91">
        <v>1</v>
      </c>
      <c r="H88" s="3">
        <f t="shared" si="8"/>
        <v>0</v>
      </c>
      <c r="I88" s="3"/>
      <c r="J88" s="3">
        <f t="shared" si="9"/>
        <v>0</v>
      </c>
    </row>
    <row r="89" spans="1:10" ht="15.75">
      <c r="A89" s="71" t="s">
        <v>481</v>
      </c>
      <c r="B89" s="54" t="s">
        <v>83</v>
      </c>
      <c r="C89" s="5" t="s">
        <v>217</v>
      </c>
      <c r="D89" s="3" t="str">
        <f>+'[1]6.4.1Competenza professionale'!A56</f>
        <v>CBA02</v>
      </c>
      <c r="E89" s="3"/>
      <c r="F89" s="3"/>
      <c r="G89" s="91">
        <v>1</v>
      </c>
      <c r="H89" s="3">
        <f t="shared" si="8"/>
        <v>0</v>
      </c>
      <c r="I89" s="3"/>
      <c r="J89" s="3">
        <f t="shared" si="9"/>
        <v>0</v>
      </c>
    </row>
    <row r="90" spans="1:10" ht="15.75">
      <c r="A90" s="71" t="s">
        <v>482</v>
      </c>
      <c r="B90" s="54" t="s">
        <v>84</v>
      </c>
      <c r="C90" s="5" t="s">
        <v>217</v>
      </c>
      <c r="D90" s="3" t="str">
        <f>+'[1]6.4.1Competenza professionale'!A49</f>
        <v>CAF08</v>
      </c>
      <c r="E90" s="3"/>
      <c r="F90" s="3"/>
      <c r="G90" s="91">
        <v>1</v>
      </c>
      <c r="H90" s="3">
        <f t="shared" si="8"/>
        <v>0</v>
      </c>
      <c r="I90" s="3"/>
      <c r="J90" s="3">
        <f t="shared" si="9"/>
        <v>0</v>
      </c>
    </row>
    <row r="91" spans="1:10" ht="15.75">
      <c r="A91" s="71" t="s">
        <v>483</v>
      </c>
      <c r="B91" s="54" t="s">
        <v>85</v>
      </c>
      <c r="C91" s="5" t="s">
        <v>218</v>
      </c>
      <c r="D91" s="3" t="str">
        <f>+'[1]6.4.1Competenza professionale'!A14</f>
        <v>CDAF7</v>
      </c>
      <c r="E91" s="3"/>
      <c r="F91" s="3"/>
      <c r="G91" s="91">
        <v>1</v>
      </c>
      <c r="H91" s="3">
        <f t="shared" si="8"/>
        <v>0</v>
      </c>
      <c r="I91" s="3"/>
      <c r="J91" s="3">
        <f t="shared" si="9"/>
        <v>0</v>
      </c>
    </row>
    <row r="92" spans="1:10" ht="47.25">
      <c r="A92" s="71" t="s">
        <v>484</v>
      </c>
      <c r="B92" s="6" t="s">
        <v>86</v>
      </c>
      <c r="C92" s="5" t="s">
        <v>218</v>
      </c>
      <c r="D92" s="3" t="str">
        <f>+D90</f>
        <v>CAF08</v>
      </c>
      <c r="E92" s="3"/>
      <c r="F92" s="3"/>
      <c r="G92" s="91">
        <v>1</v>
      </c>
      <c r="H92" s="3">
        <f t="shared" si="8"/>
        <v>0</v>
      </c>
      <c r="I92" s="3"/>
      <c r="J92" s="3">
        <f t="shared" si="9"/>
        <v>0</v>
      </c>
    </row>
    <row r="93" spans="1:10" ht="31.5">
      <c r="A93" s="71" t="s">
        <v>485</v>
      </c>
      <c r="B93" s="6" t="s">
        <v>87</v>
      </c>
      <c r="C93" s="5" t="s">
        <v>218</v>
      </c>
      <c r="D93" s="3" t="str">
        <f>+D91</f>
        <v>CDAF7</v>
      </c>
      <c r="E93" s="3"/>
      <c r="F93" s="3"/>
      <c r="G93" s="91">
        <v>1</v>
      </c>
      <c r="H93" s="3">
        <f t="shared" si="8"/>
        <v>0</v>
      </c>
      <c r="I93" s="3"/>
      <c r="J93" s="3">
        <f t="shared" si="9"/>
        <v>0</v>
      </c>
    </row>
    <row r="94" spans="1:10" ht="15.75">
      <c r="A94" s="71" t="s">
        <v>486</v>
      </c>
      <c r="B94" s="6" t="s">
        <v>88</v>
      </c>
      <c r="C94" s="5" t="s">
        <v>218</v>
      </c>
      <c r="D94" s="3" t="str">
        <f>+D92</f>
        <v>CAF08</v>
      </c>
      <c r="E94" s="3"/>
      <c r="F94" s="3"/>
      <c r="G94" s="91">
        <v>1</v>
      </c>
      <c r="H94" s="3">
        <f t="shared" si="8"/>
        <v>0</v>
      </c>
      <c r="I94" s="3"/>
      <c r="J94" s="3">
        <f t="shared" si="9"/>
        <v>0</v>
      </c>
    </row>
    <row r="95" spans="1:10" ht="15.75">
      <c r="A95" s="71" t="s">
        <v>487</v>
      </c>
      <c r="B95" s="6" t="s">
        <v>89</v>
      </c>
      <c r="C95" s="5" t="s">
        <v>218</v>
      </c>
      <c r="D95" s="3" t="str">
        <f>+D92</f>
        <v>CAF08</v>
      </c>
      <c r="E95" s="3"/>
      <c r="F95" s="3"/>
      <c r="G95" s="91">
        <v>1</v>
      </c>
      <c r="H95" s="3">
        <f t="shared" si="8"/>
        <v>0</v>
      </c>
      <c r="I95" s="3"/>
      <c r="J95" s="3">
        <f t="shared" si="9"/>
        <v>0</v>
      </c>
    </row>
    <row r="96" spans="1:10" ht="15.75">
      <c r="A96" s="71" t="s">
        <v>488</v>
      </c>
      <c r="B96" s="6" t="s">
        <v>90</v>
      </c>
      <c r="C96" s="5" t="s">
        <v>208</v>
      </c>
      <c r="D96" s="3" t="str">
        <f>+'[1]6.4.1Competenza professionale'!A16</f>
        <v>CDAF9</v>
      </c>
      <c r="E96" s="3"/>
      <c r="F96" s="3"/>
      <c r="G96" s="91">
        <v>1</v>
      </c>
      <c r="H96" s="3">
        <f t="shared" si="8"/>
        <v>0</v>
      </c>
      <c r="I96" s="3"/>
      <c r="J96" s="3">
        <f t="shared" si="9"/>
        <v>0</v>
      </c>
    </row>
    <row r="97" spans="1:10" ht="15.75">
      <c r="A97" s="71">
        <v>6</v>
      </c>
      <c r="B97" s="52" t="s">
        <v>91</v>
      </c>
      <c r="C97" s="5" t="s">
        <v>219</v>
      </c>
      <c r="D97" s="3"/>
      <c r="E97" s="83">
        <f>SUM(E98:E115)</f>
        <v>0</v>
      </c>
      <c r="F97" s="83">
        <f>SUM(F98:F115)</f>
        <v>0</v>
      </c>
      <c r="G97" s="88">
        <v>1</v>
      </c>
      <c r="H97" s="83">
        <f>SUM(H98:H115)</f>
        <v>0</v>
      </c>
      <c r="I97" s="93"/>
      <c r="J97" s="83">
        <f>SUM(J98:J115)</f>
        <v>0</v>
      </c>
    </row>
    <row r="98" spans="1:10" ht="15.75">
      <c r="A98" s="71" t="s">
        <v>489</v>
      </c>
      <c r="B98" s="54" t="s">
        <v>92</v>
      </c>
      <c r="C98" s="5" t="s">
        <v>220</v>
      </c>
      <c r="D98" s="3" t="str">
        <f>+'[1]6.4.1Competenza professionale'!A11</f>
        <v>CDAF4</v>
      </c>
      <c r="E98" s="3"/>
      <c r="F98" s="3"/>
      <c r="G98" s="91">
        <v>1</v>
      </c>
      <c r="H98" s="3">
        <f>+E98*F98*G98</f>
        <v>0</v>
      </c>
      <c r="I98" s="3"/>
      <c r="J98" s="3">
        <f>+F98*I98</f>
        <v>0</v>
      </c>
    </row>
    <row r="99" spans="1:10" ht="15.75">
      <c r="A99" s="71" t="s">
        <v>490</v>
      </c>
      <c r="B99" s="54" t="s">
        <v>93</v>
      </c>
      <c r="C99" s="5" t="s">
        <v>220</v>
      </c>
      <c r="D99" s="3" t="str">
        <f>+'[1]6.4.1Competenza professionale'!A31</f>
        <v>CDAF24</v>
      </c>
      <c r="E99" s="3"/>
      <c r="F99" s="3"/>
      <c r="G99" s="91">
        <v>1</v>
      </c>
      <c r="H99" s="3">
        <f aca="true" t="shared" si="10" ref="H99:H115">+E99*F99*G99</f>
        <v>0</v>
      </c>
      <c r="I99" s="3"/>
      <c r="J99" s="3">
        <f aca="true" t="shared" si="11" ref="J99:J115">+F99*I99</f>
        <v>0</v>
      </c>
    </row>
    <row r="100" spans="1:10" ht="15.75">
      <c r="A100" s="71" t="s">
        <v>491</v>
      </c>
      <c r="B100" s="54" t="s">
        <v>94</v>
      </c>
      <c r="C100" s="5" t="s">
        <v>220</v>
      </c>
      <c r="D100" s="3" t="str">
        <f>+D98</f>
        <v>CDAF4</v>
      </c>
      <c r="E100" s="3"/>
      <c r="F100" s="3"/>
      <c r="G100" s="91">
        <v>1</v>
      </c>
      <c r="H100" s="3">
        <f t="shared" si="10"/>
        <v>0</v>
      </c>
      <c r="I100" s="3"/>
      <c r="J100" s="3">
        <f t="shared" si="11"/>
        <v>0</v>
      </c>
    </row>
    <row r="101" spans="1:10" ht="15.75">
      <c r="A101" s="71" t="s">
        <v>492</v>
      </c>
      <c r="B101" s="54" t="s">
        <v>95</v>
      </c>
      <c r="C101" s="5" t="s">
        <v>220</v>
      </c>
      <c r="D101" s="3" t="str">
        <f>+'[1]6.4.1Competenza professionale'!A23</f>
        <v>CDAF16</v>
      </c>
      <c r="E101" s="3"/>
      <c r="F101" s="3"/>
      <c r="G101" s="91">
        <v>1</v>
      </c>
      <c r="H101" s="3">
        <f t="shared" si="10"/>
        <v>0</v>
      </c>
      <c r="I101" s="3"/>
      <c r="J101" s="3">
        <f t="shared" si="11"/>
        <v>0</v>
      </c>
    </row>
    <row r="102" spans="1:10" ht="15.75">
      <c r="A102" s="71" t="s">
        <v>493</v>
      </c>
      <c r="B102" s="54" t="s">
        <v>96</v>
      </c>
      <c r="C102" s="5" t="s">
        <v>220</v>
      </c>
      <c r="D102" s="3" t="str">
        <f>+D100</f>
        <v>CDAF4</v>
      </c>
      <c r="E102" s="3"/>
      <c r="F102" s="3"/>
      <c r="G102" s="91">
        <v>1</v>
      </c>
      <c r="H102" s="3">
        <f t="shared" si="10"/>
        <v>0</v>
      </c>
      <c r="I102" s="3"/>
      <c r="J102" s="3">
        <f t="shared" si="11"/>
        <v>0</v>
      </c>
    </row>
    <row r="103" spans="1:10" ht="15.75">
      <c r="A103" s="71" t="s">
        <v>494</v>
      </c>
      <c r="B103" s="54" t="s">
        <v>97</v>
      </c>
      <c r="C103" s="5" t="s">
        <v>220</v>
      </c>
      <c r="D103" s="3" t="str">
        <f>+D101</f>
        <v>CDAF16</v>
      </c>
      <c r="E103" s="3"/>
      <c r="F103" s="3"/>
      <c r="G103" s="91">
        <v>1</v>
      </c>
      <c r="H103" s="3">
        <f t="shared" si="10"/>
        <v>0</v>
      </c>
      <c r="I103" s="3"/>
      <c r="J103" s="3">
        <f t="shared" si="11"/>
        <v>0</v>
      </c>
    </row>
    <row r="104" spans="1:10" ht="15.75">
      <c r="A104" s="71" t="s">
        <v>495</v>
      </c>
      <c r="B104" s="54" t="s">
        <v>98</v>
      </c>
      <c r="C104" s="5" t="s">
        <v>220</v>
      </c>
      <c r="D104" s="3" t="str">
        <f>+'[1]6.4.1Competenza professionale'!A10</f>
        <v>CDAF3</v>
      </c>
      <c r="E104" s="3"/>
      <c r="F104" s="3"/>
      <c r="G104" s="91">
        <v>1</v>
      </c>
      <c r="H104" s="3">
        <f t="shared" si="10"/>
        <v>0</v>
      </c>
      <c r="I104" s="3"/>
      <c r="J104" s="3">
        <f t="shared" si="11"/>
        <v>0</v>
      </c>
    </row>
    <row r="105" spans="1:10" ht="15.75">
      <c r="A105" s="71" t="s">
        <v>496</v>
      </c>
      <c r="B105" s="54" t="s">
        <v>99</v>
      </c>
      <c r="C105" s="5" t="s">
        <v>220</v>
      </c>
      <c r="D105" s="3" t="str">
        <f>+'[1]6.4.1Competenza professionale'!A10</f>
        <v>CDAF3</v>
      </c>
      <c r="E105" s="3"/>
      <c r="F105" s="3"/>
      <c r="G105" s="91">
        <v>1</v>
      </c>
      <c r="H105" s="3">
        <f t="shared" si="10"/>
        <v>0</v>
      </c>
      <c r="I105" s="3"/>
      <c r="J105" s="3">
        <f t="shared" si="11"/>
        <v>0</v>
      </c>
    </row>
    <row r="106" spans="1:10" ht="15.75">
      <c r="A106" s="71" t="s">
        <v>497</v>
      </c>
      <c r="B106" s="54" t="s">
        <v>100</v>
      </c>
      <c r="C106" s="5" t="s">
        <v>220</v>
      </c>
      <c r="D106" s="3" t="str">
        <f>+'[1]6.4.1Competenza professionale'!A10</f>
        <v>CDAF3</v>
      </c>
      <c r="E106" s="3"/>
      <c r="F106" s="3"/>
      <c r="G106" s="91">
        <v>1</v>
      </c>
      <c r="H106" s="3">
        <f t="shared" si="10"/>
        <v>0</v>
      </c>
      <c r="I106" s="3"/>
      <c r="J106" s="3">
        <f t="shared" si="11"/>
        <v>0</v>
      </c>
    </row>
    <row r="107" spans="1:10" ht="15.75">
      <c r="A107" s="71" t="s">
        <v>498</v>
      </c>
      <c r="B107" s="54" t="s">
        <v>101</v>
      </c>
      <c r="C107" s="5" t="s">
        <v>220</v>
      </c>
      <c r="D107" s="3" t="str">
        <f>+'[1]6.4.1Competenza professionale'!A11</f>
        <v>CDAF4</v>
      </c>
      <c r="E107" s="3"/>
      <c r="F107" s="3"/>
      <c r="G107" s="91">
        <v>1</v>
      </c>
      <c r="H107" s="3">
        <f t="shared" si="10"/>
        <v>0</v>
      </c>
      <c r="I107" s="3"/>
      <c r="J107" s="3">
        <f t="shared" si="11"/>
        <v>0</v>
      </c>
    </row>
    <row r="108" spans="1:10" ht="15.75">
      <c r="A108" s="71" t="s">
        <v>499</v>
      </c>
      <c r="B108" s="54" t="s">
        <v>102</v>
      </c>
      <c r="C108" s="5" t="s">
        <v>220</v>
      </c>
      <c r="D108" s="3" t="str">
        <f>+D107</f>
        <v>CDAF4</v>
      </c>
      <c r="E108" s="3"/>
      <c r="F108" s="3"/>
      <c r="G108" s="91">
        <v>1</v>
      </c>
      <c r="H108" s="3">
        <f t="shared" si="10"/>
        <v>0</v>
      </c>
      <c r="I108" s="3"/>
      <c r="J108" s="3">
        <f t="shared" si="11"/>
        <v>0</v>
      </c>
    </row>
    <row r="109" spans="1:10" ht="15.75">
      <c r="A109" s="71" t="s">
        <v>500</v>
      </c>
      <c r="B109" s="54" t="s">
        <v>103</v>
      </c>
      <c r="C109" s="5" t="s">
        <v>220</v>
      </c>
      <c r="D109" s="3" t="str">
        <f>+'[1]6.4.1Competenza professionale'!A11</f>
        <v>CDAF4</v>
      </c>
      <c r="E109" s="3"/>
      <c r="F109" s="3"/>
      <c r="G109" s="91">
        <v>1</v>
      </c>
      <c r="H109" s="3">
        <f t="shared" si="10"/>
        <v>0</v>
      </c>
      <c r="I109" s="3"/>
      <c r="J109" s="3">
        <f t="shared" si="11"/>
        <v>0</v>
      </c>
    </row>
    <row r="110" spans="1:10" ht="15.75">
      <c r="A110" s="71" t="s">
        <v>501</v>
      </c>
      <c r="B110" s="54" t="s">
        <v>104</v>
      </c>
      <c r="C110" s="5" t="s">
        <v>220</v>
      </c>
      <c r="D110" s="3" t="str">
        <f>+'[1]6.4.1Competenza professionale'!A25</f>
        <v>CDAF18</v>
      </c>
      <c r="E110" s="3"/>
      <c r="F110" s="3"/>
      <c r="G110" s="91">
        <v>1</v>
      </c>
      <c r="H110" s="3">
        <f t="shared" si="10"/>
        <v>0</v>
      </c>
      <c r="I110" s="3"/>
      <c r="J110" s="3">
        <f t="shared" si="11"/>
        <v>0</v>
      </c>
    </row>
    <row r="111" spans="1:10" ht="15.75">
      <c r="A111" s="71" t="s">
        <v>502</v>
      </c>
      <c r="B111" s="54" t="s">
        <v>105</v>
      </c>
      <c r="C111" s="5" t="s">
        <v>220</v>
      </c>
      <c r="D111" s="3" t="str">
        <f>+'[1]6.4.1Competenza professionale'!A9</f>
        <v>CDAF2</v>
      </c>
      <c r="E111" s="3"/>
      <c r="F111" s="3"/>
      <c r="G111" s="91">
        <v>1</v>
      </c>
      <c r="H111" s="3">
        <f t="shared" si="10"/>
        <v>0</v>
      </c>
      <c r="I111" s="3"/>
      <c r="J111" s="3">
        <f t="shared" si="11"/>
        <v>0</v>
      </c>
    </row>
    <row r="112" spans="1:10" ht="15.75">
      <c r="A112" s="71" t="s">
        <v>503</v>
      </c>
      <c r="B112" s="54" t="s">
        <v>106</v>
      </c>
      <c r="C112" s="5" t="s">
        <v>220</v>
      </c>
      <c r="D112" s="3" t="str">
        <f>+'[1]6.4.1Competenza professionale'!A25</f>
        <v>CDAF18</v>
      </c>
      <c r="E112" s="3"/>
      <c r="F112" s="3"/>
      <c r="G112" s="91">
        <v>1</v>
      </c>
      <c r="H112" s="3">
        <f t="shared" si="10"/>
        <v>0</v>
      </c>
      <c r="I112" s="3"/>
      <c r="J112" s="3">
        <f t="shared" si="11"/>
        <v>0</v>
      </c>
    </row>
    <row r="113" spans="1:10" ht="15.75">
      <c r="A113" s="71" t="s">
        <v>504</v>
      </c>
      <c r="B113" s="54" t="s">
        <v>107</v>
      </c>
      <c r="C113" s="5" t="s">
        <v>220</v>
      </c>
      <c r="D113" s="3" t="str">
        <f>+'Tabella 2 Competenze'!A29</f>
        <v>CDAF22</v>
      </c>
      <c r="E113" s="3"/>
      <c r="F113" s="3"/>
      <c r="G113" s="91">
        <v>1</v>
      </c>
      <c r="H113" s="3">
        <f t="shared" si="10"/>
        <v>0</v>
      </c>
      <c r="I113" s="3"/>
      <c r="J113" s="3">
        <f t="shared" si="11"/>
        <v>0</v>
      </c>
    </row>
    <row r="114" spans="1:10" ht="15.75">
      <c r="A114" s="71" t="s">
        <v>505</v>
      </c>
      <c r="B114" s="54" t="s">
        <v>108</v>
      </c>
      <c r="C114" s="5" t="s">
        <v>220</v>
      </c>
      <c r="D114" s="3" t="str">
        <f>+'Tabella 2 Competenze'!A29</f>
        <v>CDAF22</v>
      </c>
      <c r="E114" s="3"/>
      <c r="F114" s="3"/>
      <c r="G114" s="91">
        <v>1</v>
      </c>
      <c r="H114" s="3">
        <f t="shared" si="10"/>
        <v>0</v>
      </c>
      <c r="I114" s="3"/>
      <c r="J114" s="3">
        <f t="shared" si="11"/>
        <v>0</v>
      </c>
    </row>
    <row r="115" spans="1:10" ht="15.75">
      <c r="A115" s="71" t="s">
        <v>506</v>
      </c>
      <c r="B115" s="54" t="s">
        <v>109</v>
      </c>
      <c r="C115" s="5" t="s">
        <v>220</v>
      </c>
      <c r="D115" s="3" t="str">
        <f>+'Tabella 2 Competenze'!A29</f>
        <v>CDAF22</v>
      </c>
      <c r="E115" s="3"/>
      <c r="F115" s="3"/>
      <c r="G115" s="91">
        <v>1</v>
      </c>
      <c r="H115" s="3">
        <f t="shared" si="10"/>
        <v>0</v>
      </c>
      <c r="I115" s="3"/>
      <c r="J115" s="3">
        <f t="shared" si="11"/>
        <v>0</v>
      </c>
    </row>
    <row r="116" spans="1:10" ht="15.75">
      <c r="A116" s="71">
        <v>7</v>
      </c>
      <c r="B116" s="61" t="s">
        <v>110</v>
      </c>
      <c r="C116" s="5" t="s">
        <v>219</v>
      </c>
      <c r="D116" s="3"/>
      <c r="E116" s="83">
        <f>SUM(E117:E135)</f>
        <v>0</v>
      </c>
      <c r="F116" s="83">
        <f>SUM(F117:F135)</f>
        <v>0</v>
      </c>
      <c r="G116" s="88">
        <v>1</v>
      </c>
      <c r="H116" s="83">
        <f>SUM(H117:H135)</f>
        <v>0</v>
      </c>
      <c r="I116" s="93"/>
      <c r="J116" s="83">
        <f>SUM(J117:J135)</f>
        <v>0</v>
      </c>
    </row>
    <row r="117" spans="1:10" ht="15.75">
      <c r="A117" s="71" t="s">
        <v>507</v>
      </c>
      <c r="B117" s="54" t="s">
        <v>111</v>
      </c>
      <c r="C117" s="5" t="s">
        <v>220</v>
      </c>
      <c r="D117" s="3" t="str">
        <f>+'[1]6.4.1Competenza professionale'!A23</f>
        <v>CDAF16</v>
      </c>
      <c r="E117" s="3"/>
      <c r="F117" s="3"/>
      <c r="G117" s="91">
        <v>1</v>
      </c>
      <c r="H117" s="3">
        <f>+E117*F117*G117</f>
        <v>0</v>
      </c>
      <c r="I117" s="3"/>
      <c r="J117" s="3">
        <f>+F117*I117</f>
        <v>0</v>
      </c>
    </row>
    <row r="118" spans="1:10" ht="15.75">
      <c r="A118" s="71" t="s">
        <v>508</v>
      </c>
      <c r="B118" s="6" t="s">
        <v>112</v>
      </c>
      <c r="C118" s="5" t="s">
        <v>220</v>
      </c>
      <c r="D118" s="3" t="str">
        <f>+'[1]6.4.1Competenza professionale'!A10</f>
        <v>CDAF3</v>
      </c>
      <c r="E118" s="3"/>
      <c r="F118" s="3"/>
      <c r="G118" s="91">
        <v>1</v>
      </c>
      <c r="H118" s="3">
        <f aca="true" t="shared" si="12" ref="H118:H135">+E118*F118*G118</f>
        <v>0</v>
      </c>
      <c r="I118" s="3"/>
      <c r="J118" s="3">
        <f aca="true" t="shared" si="13" ref="J118:J135">+F118*I118</f>
        <v>0</v>
      </c>
    </row>
    <row r="119" spans="1:10" ht="15.75">
      <c r="A119" s="71" t="s">
        <v>509</v>
      </c>
      <c r="B119" s="54" t="s">
        <v>113</v>
      </c>
      <c r="C119" s="5" t="s">
        <v>220</v>
      </c>
      <c r="D119" s="3" t="str">
        <f>+D118</f>
        <v>CDAF3</v>
      </c>
      <c r="E119" s="3"/>
      <c r="F119" s="3"/>
      <c r="G119" s="91">
        <v>1</v>
      </c>
      <c r="H119" s="3">
        <f t="shared" si="12"/>
        <v>0</v>
      </c>
      <c r="I119" s="3"/>
      <c r="J119" s="3">
        <f t="shared" si="13"/>
        <v>0</v>
      </c>
    </row>
    <row r="120" spans="1:10" ht="15.75">
      <c r="A120" s="71" t="s">
        <v>510</v>
      </c>
      <c r="B120" s="54" t="s">
        <v>114</v>
      </c>
      <c r="C120" s="5" t="s">
        <v>220</v>
      </c>
      <c r="D120" s="3" t="str">
        <f>+D119</f>
        <v>CDAF3</v>
      </c>
      <c r="E120" s="3"/>
      <c r="F120" s="3"/>
      <c r="G120" s="91">
        <v>1</v>
      </c>
      <c r="H120" s="3">
        <f t="shared" si="12"/>
        <v>0</v>
      </c>
      <c r="I120" s="3"/>
      <c r="J120" s="3">
        <f t="shared" si="13"/>
        <v>0</v>
      </c>
    </row>
    <row r="121" spans="1:10" ht="15.75">
      <c r="A121" s="71" t="s">
        <v>511</v>
      </c>
      <c r="B121" s="54" t="s">
        <v>115</v>
      </c>
      <c r="C121" s="5" t="s">
        <v>220</v>
      </c>
      <c r="D121" s="3" t="str">
        <f>+D120</f>
        <v>CDAF3</v>
      </c>
      <c r="E121" s="3"/>
      <c r="F121" s="3"/>
      <c r="G121" s="91">
        <v>1</v>
      </c>
      <c r="H121" s="3">
        <f t="shared" si="12"/>
        <v>0</v>
      </c>
      <c r="I121" s="3"/>
      <c r="J121" s="3">
        <f t="shared" si="13"/>
        <v>0</v>
      </c>
    </row>
    <row r="122" spans="1:10" ht="15.75">
      <c r="A122" s="71" t="s">
        <v>512</v>
      </c>
      <c r="B122" s="54" t="s">
        <v>116</v>
      </c>
      <c r="C122" s="5" t="s">
        <v>220</v>
      </c>
      <c r="D122" s="3" t="str">
        <f>+D120</f>
        <v>CDAF3</v>
      </c>
      <c r="E122" s="3"/>
      <c r="F122" s="3"/>
      <c r="G122" s="91">
        <v>1</v>
      </c>
      <c r="H122" s="3">
        <f t="shared" si="12"/>
        <v>0</v>
      </c>
      <c r="I122" s="3"/>
      <c r="J122" s="3">
        <f t="shared" si="13"/>
        <v>0</v>
      </c>
    </row>
    <row r="123" spans="1:10" ht="15.75">
      <c r="A123" s="71" t="s">
        <v>513</v>
      </c>
      <c r="B123" s="54" t="s">
        <v>117</v>
      </c>
      <c r="C123" s="5" t="s">
        <v>220</v>
      </c>
      <c r="D123" s="3" t="str">
        <f>+'[1]6.4.1Competenza professionale'!A16</f>
        <v>CDAF9</v>
      </c>
      <c r="E123" s="3"/>
      <c r="F123" s="3"/>
      <c r="G123" s="91">
        <v>1</v>
      </c>
      <c r="H123" s="3">
        <f t="shared" si="12"/>
        <v>0</v>
      </c>
      <c r="I123" s="3"/>
      <c r="J123" s="3">
        <f t="shared" si="13"/>
        <v>0</v>
      </c>
    </row>
    <row r="124" spans="1:10" ht="15.75">
      <c r="A124" s="71" t="s">
        <v>514</v>
      </c>
      <c r="B124" s="54" t="s">
        <v>118</v>
      </c>
      <c r="C124" s="5" t="s">
        <v>220</v>
      </c>
      <c r="D124" s="3" t="str">
        <f>+'[1]6.4.1Competenza professionale'!A17</f>
        <v>CDAF10</v>
      </c>
      <c r="E124" s="3"/>
      <c r="F124" s="3"/>
      <c r="G124" s="91">
        <v>1</v>
      </c>
      <c r="H124" s="3">
        <f t="shared" si="12"/>
        <v>0</v>
      </c>
      <c r="I124" s="3"/>
      <c r="J124" s="3">
        <f t="shared" si="13"/>
        <v>0</v>
      </c>
    </row>
    <row r="125" spans="1:10" ht="15.75">
      <c r="A125" s="71" t="s">
        <v>515</v>
      </c>
      <c r="B125" s="62" t="s">
        <v>119</v>
      </c>
      <c r="C125" s="5" t="s">
        <v>220</v>
      </c>
      <c r="D125" s="3" t="str">
        <f>+'[1]6.4.1Competenza professionale'!A28</f>
        <v>CDAF21</v>
      </c>
      <c r="E125" s="3"/>
      <c r="F125" s="3"/>
      <c r="G125" s="91">
        <v>1</v>
      </c>
      <c r="H125" s="3">
        <f t="shared" si="12"/>
        <v>0</v>
      </c>
      <c r="I125" s="3"/>
      <c r="J125" s="3">
        <f t="shared" si="13"/>
        <v>0</v>
      </c>
    </row>
    <row r="126" spans="1:10" ht="15.75">
      <c r="A126" s="71" t="s">
        <v>516</v>
      </c>
      <c r="B126" s="62" t="s">
        <v>120</v>
      </c>
      <c r="C126" s="5" t="s">
        <v>220</v>
      </c>
      <c r="D126" s="3" t="str">
        <f>+'[1]6.4.1Competenza professionale'!A27</f>
        <v>CDAF20</v>
      </c>
      <c r="E126" s="3"/>
      <c r="F126" s="3"/>
      <c r="G126" s="91">
        <v>1</v>
      </c>
      <c r="H126" s="3">
        <f t="shared" si="12"/>
        <v>0</v>
      </c>
      <c r="I126" s="3"/>
      <c r="J126" s="3">
        <f t="shared" si="13"/>
        <v>0</v>
      </c>
    </row>
    <row r="127" spans="1:10" ht="15.75">
      <c r="A127" s="71" t="s">
        <v>517</v>
      </c>
      <c r="B127" s="62" t="s">
        <v>121</v>
      </c>
      <c r="C127" s="5" t="s">
        <v>220</v>
      </c>
      <c r="D127" s="3" t="str">
        <f>+D126</f>
        <v>CDAF20</v>
      </c>
      <c r="E127" s="3"/>
      <c r="F127" s="3"/>
      <c r="G127" s="91">
        <v>1</v>
      </c>
      <c r="H127" s="3">
        <f t="shared" si="12"/>
        <v>0</v>
      </c>
      <c r="I127" s="3"/>
      <c r="J127" s="3">
        <f t="shared" si="13"/>
        <v>0</v>
      </c>
    </row>
    <row r="128" spans="1:10" ht="15.75">
      <c r="A128" s="71" t="s">
        <v>518</v>
      </c>
      <c r="B128" s="62" t="s">
        <v>242</v>
      </c>
      <c r="C128" s="5" t="s">
        <v>220</v>
      </c>
      <c r="D128" s="3" t="str">
        <f>+'[1]6.4.1Competenza professionale'!A23</f>
        <v>CDAF16</v>
      </c>
      <c r="E128" s="3"/>
      <c r="F128" s="3"/>
      <c r="G128" s="91">
        <v>1</v>
      </c>
      <c r="H128" s="3">
        <f t="shared" si="12"/>
        <v>0</v>
      </c>
      <c r="I128" s="3"/>
      <c r="J128" s="3">
        <f t="shared" si="13"/>
        <v>0</v>
      </c>
    </row>
    <row r="129" spans="1:10" ht="15.75">
      <c r="A129" s="71" t="s">
        <v>519</v>
      </c>
      <c r="B129" s="56" t="s">
        <v>122</v>
      </c>
      <c r="C129" s="5" t="s">
        <v>220</v>
      </c>
      <c r="D129" s="3" t="str">
        <f>+'[1]6.4.1Competenza professionale'!A9</f>
        <v>CDAF2</v>
      </c>
      <c r="E129" s="3"/>
      <c r="F129" s="3"/>
      <c r="G129" s="91">
        <v>1</v>
      </c>
      <c r="H129" s="3">
        <f t="shared" si="12"/>
        <v>0</v>
      </c>
      <c r="I129" s="3"/>
      <c r="J129" s="3">
        <f t="shared" si="13"/>
        <v>0</v>
      </c>
    </row>
    <row r="130" spans="1:10" ht="15.75">
      <c r="A130" s="71" t="s">
        <v>520</v>
      </c>
      <c r="B130" s="56" t="s">
        <v>123</v>
      </c>
      <c r="C130" s="5" t="s">
        <v>220</v>
      </c>
      <c r="D130" s="3" t="str">
        <f>+D128</f>
        <v>CDAF16</v>
      </c>
      <c r="E130" s="3"/>
      <c r="F130" s="3"/>
      <c r="G130" s="91">
        <v>1</v>
      </c>
      <c r="H130" s="3">
        <f t="shared" si="12"/>
        <v>0</v>
      </c>
      <c r="I130" s="3"/>
      <c r="J130" s="3">
        <f t="shared" si="13"/>
        <v>0</v>
      </c>
    </row>
    <row r="131" spans="1:10" ht="15.75">
      <c r="A131" s="71" t="s">
        <v>521</v>
      </c>
      <c r="B131" s="56" t="s">
        <v>124</v>
      </c>
      <c r="C131" s="5" t="s">
        <v>220</v>
      </c>
      <c r="D131" s="3" t="str">
        <f>+D127</f>
        <v>CDAF20</v>
      </c>
      <c r="E131" s="3"/>
      <c r="F131" s="3"/>
      <c r="G131" s="91">
        <v>1</v>
      </c>
      <c r="H131" s="3">
        <f t="shared" si="12"/>
        <v>0</v>
      </c>
      <c r="I131" s="3"/>
      <c r="J131" s="3">
        <f t="shared" si="13"/>
        <v>0</v>
      </c>
    </row>
    <row r="132" spans="1:10" ht="15.75">
      <c r="A132" s="71" t="s">
        <v>522</v>
      </c>
      <c r="B132" s="54" t="s">
        <v>125</v>
      </c>
      <c r="C132" s="5" t="s">
        <v>220</v>
      </c>
      <c r="D132" s="3" t="str">
        <f>+'[1]6.4.1Competenza professionale'!A9</f>
        <v>CDAF2</v>
      </c>
      <c r="E132" s="3"/>
      <c r="F132" s="3"/>
      <c r="G132" s="91">
        <v>1</v>
      </c>
      <c r="H132" s="3">
        <f t="shared" si="12"/>
        <v>0</v>
      </c>
      <c r="I132" s="3"/>
      <c r="J132" s="3">
        <f t="shared" si="13"/>
        <v>0</v>
      </c>
    </row>
    <row r="133" spans="1:10" ht="31.5">
      <c r="A133" s="71" t="s">
        <v>523</v>
      </c>
      <c r="B133" s="6" t="s">
        <v>126</v>
      </c>
      <c r="C133" s="5" t="s">
        <v>220</v>
      </c>
      <c r="D133" s="3" t="str">
        <f>+'[1]6.4.1Competenza professionale'!A24</f>
        <v>CDAF17</v>
      </c>
      <c r="E133" s="3"/>
      <c r="F133" s="3"/>
      <c r="G133" s="91">
        <v>1</v>
      </c>
      <c r="H133" s="3">
        <f t="shared" si="12"/>
        <v>0</v>
      </c>
      <c r="I133" s="3"/>
      <c r="J133" s="3">
        <f t="shared" si="13"/>
        <v>0</v>
      </c>
    </row>
    <row r="134" spans="1:10" ht="15.75">
      <c r="A134" s="71" t="s">
        <v>524</v>
      </c>
      <c r="B134" s="6" t="s">
        <v>127</v>
      </c>
      <c r="C134" s="5" t="s">
        <v>221</v>
      </c>
      <c r="D134" s="3" t="str">
        <f>+'[1]6.4.1Competenza professionale'!A23</f>
        <v>CDAF16</v>
      </c>
      <c r="E134" s="3"/>
      <c r="F134" s="3"/>
      <c r="G134" s="91">
        <v>1</v>
      </c>
      <c r="H134" s="3">
        <f t="shared" si="12"/>
        <v>0</v>
      </c>
      <c r="I134" s="3"/>
      <c r="J134" s="3">
        <f t="shared" si="13"/>
        <v>0</v>
      </c>
    </row>
    <row r="135" spans="1:10" ht="15.75">
      <c r="A135" s="71" t="s">
        <v>525</v>
      </c>
      <c r="B135" s="6" t="s">
        <v>128</v>
      </c>
      <c r="C135" s="5" t="s">
        <v>222</v>
      </c>
      <c r="D135" s="3" t="str">
        <f>+'[1]6.4.1Competenza professionale'!A32</f>
        <v>CDAF25</v>
      </c>
      <c r="E135" s="3"/>
      <c r="F135" s="3"/>
      <c r="G135" s="91">
        <v>1</v>
      </c>
      <c r="H135" s="3">
        <f t="shared" si="12"/>
        <v>0</v>
      </c>
      <c r="I135" s="3"/>
      <c r="J135" s="3">
        <f t="shared" si="13"/>
        <v>0</v>
      </c>
    </row>
    <row r="136" spans="1:10" ht="31.5">
      <c r="A136" s="71">
        <v>8</v>
      </c>
      <c r="B136" s="63" t="s">
        <v>129</v>
      </c>
      <c r="C136" s="5"/>
      <c r="D136" s="3"/>
      <c r="E136" s="83">
        <f>SUM(E137:E150)</f>
        <v>0</v>
      </c>
      <c r="F136" s="83">
        <f>SUM(F137:F150)</f>
        <v>0</v>
      </c>
      <c r="G136" s="88">
        <v>1</v>
      </c>
      <c r="H136" s="83">
        <f>SUM(H137:H150)</f>
        <v>0</v>
      </c>
      <c r="I136" s="93"/>
      <c r="J136" s="83">
        <f>SUM(J137:J150)</f>
        <v>0</v>
      </c>
    </row>
    <row r="137" spans="1:10" ht="15.75">
      <c r="A137" s="71" t="s">
        <v>526</v>
      </c>
      <c r="B137" s="64" t="s">
        <v>130</v>
      </c>
      <c r="C137" s="5" t="s">
        <v>223</v>
      </c>
      <c r="D137" s="3" t="str">
        <f>+'[1]6.4.1Competenza professionale'!A22</f>
        <v>CDAF15</v>
      </c>
      <c r="E137" s="3"/>
      <c r="F137" s="3"/>
      <c r="G137" s="91">
        <v>1</v>
      </c>
      <c r="H137" s="3">
        <f>+E137*F137*G137</f>
        <v>0</v>
      </c>
      <c r="I137" s="3"/>
      <c r="J137" s="3">
        <f>+F137*I137</f>
        <v>0</v>
      </c>
    </row>
    <row r="138" spans="1:10" ht="15.75">
      <c r="A138" s="71" t="s">
        <v>527</v>
      </c>
      <c r="B138" s="64" t="s">
        <v>131</v>
      </c>
      <c r="C138" s="5" t="s">
        <v>224</v>
      </c>
      <c r="D138" s="3" t="str">
        <f>+'[1]6.4.1Competenza professionale'!A22</f>
        <v>CDAF15</v>
      </c>
      <c r="E138" s="3"/>
      <c r="F138" s="3"/>
      <c r="G138" s="91">
        <v>1</v>
      </c>
      <c r="H138" s="3">
        <f aca="true" t="shared" si="14" ref="H138:H150">+E138*F138*G138</f>
        <v>0</v>
      </c>
      <c r="I138" s="3"/>
      <c r="J138" s="3">
        <f aca="true" t="shared" si="15" ref="J138:J150">+F138*I138</f>
        <v>0</v>
      </c>
    </row>
    <row r="139" spans="1:10" ht="15.75">
      <c r="A139" s="71" t="s">
        <v>528</v>
      </c>
      <c r="B139" s="65" t="s">
        <v>132</v>
      </c>
      <c r="C139" s="5" t="s">
        <v>224</v>
      </c>
      <c r="D139" s="3" t="str">
        <f>+'[1]6.4.1Competenza professionale'!A22</f>
        <v>CDAF15</v>
      </c>
      <c r="E139" s="3"/>
      <c r="F139" s="3"/>
      <c r="G139" s="91">
        <v>1</v>
      </c>
      <c r="H139" s="3">
        <f t="shared" si="14"/>
        <v>0</v>
      </c>
      <c r="I139" s="3"/>
      <c r="J139" s="3">
        <f t="shared" si="15"/>
        <v>0</v>
      </c>
    </row>
    <row r="140" spans="1:10" ht="15.75">
      <c r="A140" s="71" t="s">
        <v>529</v>
      </c>
      <c r="B140" s="66" t="s">
        <v>133</v>
      </c>
      <c r="C140" s="5" t="s">
        <v>224</v>
      </c>
      <c r="D140" s="3" t="str">
        <f>+'[1]6.4.1Competenza professionale'!A22</f>
        <v>CDAF15</v>
      </c>
      <c r="E140" s="3"/>
      <c r="F140" s="3"/>
      <c r="G140" s="91">
        <v>1</v>
      </c>
      <c r="H140" s="3">
        <f t="shared" si="14"/>
        <v>0</v>
      </c>
      <c r="I140" s="3"/>
      <c r="J140" s="3">
        <f t="shared" si="15"/>
        <v>0</v>
      </c>
    </row>
    <row r="141" spans="1:10" ht="15.75">
      <c r="A141" s="71" t="s">
        <v>530</v>
      </c>
      <c r="B141" s="66" t="s">
        <v>134</v>
      </c>
      <c r="C141" s="5" t="s">
        <v>224</v>
      </c>
      <c r="D141" s="3" t="str">
        <f>+'[1]6.4.1Competenza professionale'!A22</f>
        <v>CDAF15</v>
      </c>
      <c r="E141" s="3"/>
      <c r="F141" s="3"/>
      <c r="G141" s="91">
        <v>1</v>
      </c>
      <c r="H141" s="3">
        <f t="shared" si="14"/>
        <v>0</v>
      </c>
      <c r="I141" s="3"/>
      <c r="J141" s="3">
        <f t="shared" si="15"/>
        <v>0</v>
      </c>
    </row>
    <row r="142" spans="1:10" ht="15.75">
      <c r="A142" s="71" t="s">
        <v>531</v>
      </c>
      <c r="B142" s="66" t="s">
        <v>135</v>
      </c>
      <c r="C142" s="5" t="s">
        <v>224</v>
      </c>
      <c r="D142" s="3" t="str">
        <f>+D141</f>
        <v>CDAF15</v>
      </c>
      <c r="E142" s="3"/>
      <c r="F142" s="3"/>
      <c r="G142" s="91">
        <v>1</v>
      </c>
      <c r="H142" s="3">
        <f t="shared" si="14"/>
        <v>0</v>
      </c>
      <c r="I142" s="3"/>
      <c r="J142" s="3">
        <f t="shared" si="15"/>
        <v>0</v>
      </c>
    </row>
    <row r="143" spans="1:10" ht="15.75">
      <c r="A143" s="71" t="s">
        <v>532</v>
      </c>
      <c r="B143" s="66" t="s">
        <v>136</v>
      </c>
      <c r="C143" s="5" t="s">
        <v>224</v>
      </c>
      <c r="D143" s="3" t="str">
        <f>+'[1]6.4.1Competenza professionale'!A22</f>
        <v>CDAF15</v>
      </c>
      <c r="E143" s="3"/>
      <c r="F143" s="3"/>
      <c r="G143" s="91">
        <v>1</v>
      </c>
      <c r="H143" s="3">
        <f t="shared" si="14"/>
        <v>0</v>
      </c>
      <c r="I143" s="3"/>
      <c r="J143" s="3">
        <f t="shared" si="15"/>
        <v>0</v>
      </c>
    </row>
    <row r="144" spans="1:10" ht="15.75">
      <c r="A144" s="71" t="s">
        <v>533</v>
      </c>
      <c r="B144" s="66" t="s">
        <v>137</v>
      </c>
      <c r="C144" s="5" t="s">
        <v>224</v>
      </c>
      <c r="D144" s="3" t="str">
        <f>+'[1]6.4.1Competenza professionale'!A23</f>
        <v>CDAF16</v>
      </c>
      <c r="E144" s="3"/>
      <c r="F144" s="3"/>
      <c r="G144" s="91">
        <v>1</v>
      </c>
      <c r="H144" s="3">
        <f t="shared" si="14"/>
        <v>0</v>
      </c>
      <c r="I144" s="3"/>
      <c r="J144" s="3">
        <f t="shared" si="15"/>
        <v>0</v>
      </c>
    </row>
    <row r="145" spans="1:10" ht="15.75">
      <c r="A145" s="71" t="s">
        <v>534</v>
      </c>
      <c r="B145" s="66" t="s">
        <v>243</v>
      </c>
      <c r="C145" s="5" t="s">
        <v>225</v>
      </c>
      <c r="D145" s="3" t="str">
        <f>+D144</f>
        <v>CDAF16</v>
      </c>
      <c r="E145" s="3"/>
      <c r="F145" s="3"/>
      <c r="G145" s="91">
        <v>1</v>
      </c>
      <c r="H145" s="3">
        <f t="shared" si="14"/>
        <v>0</v>
      </c>
      <c r="I145" s="3"/>
      <c r="J145" s="3">
        <f t="shared" si="15"/>
        <v>0</v>
      </c>
    </row>
    <row r="146" spans="1:10" ht="15.75">
      <c r="A146" s="71" t="s">
        <v>535</v>
      </c>
      <c r="B146" s="66" t="s">
        <v>138</v>
      </c>
      <c r="C146" s="5" t="s">
        <v>224</v>
      </c>
      <c r="D146" s="3" t="str">
        <f>+'[1]6.4.1Competenza professionale'!A23</f>
        <v>CDAF16</v>
      </c>
      <c r="E146" s="3"/>
      <c r="F146" s="3"/>
      <c r="G146" s="91">
        <v>1</v>
      </c>
      <c r="H146" s="3">
        <f t="shared" si="14"/>
        <v>0</v>
      </c>
      <c r="I146" s="3"/>
      <c r="J146" s="3">
        <f t="shared" si="15"/>
        <v>0</v>
      </c>
    </row>
    <row r="147" spans="1:10" ht="15.75">
      <c r="A147" s="71" t="s">
        <v>536</v>
      </c>
      <c r="B147" s="66" t="s">
        <v>139</v>
      </c>
      <c r="C147" s="5" t="s">
        <v>224</v>
      </c>
      <c r="D147" s="3" t="str">
        <f>+'[1]6.4.1Competenza professionale'!A25</f>
        <v>CDAF18</v>
      </c>
      <c r="E147" s="3"/>
      <c r="F147" s="3"/>
      <c r="G147" s="91">
        <v>1</v>
      </c>
      <c r="H147" s="3">
        <f t="shared" si="14"/>
        <v>0</v>
      </c>
      <c r="I147" s="3"/>
      <c r="J147" s="3">
        <f t="shared" si="15"/>
        <v>0</v>
      </c>
    </row>
    <row r="148" spans="1:10" ht="15.75">
      <c r="A148" s="71" t="s">
        <v>537</v>
      </c>
      <c r="B148" s="66" t="s">
        <v>140</v>
      </c>
      <c r="C148" s="5" t="s">
        <v>221</v>
      </c>
      <c r="D148" s="3" t="str">
        <f>+'[1]6.4.1Competenza professionale'!A22</f>
        <v>CDAF15</v>
      </c>
      <c r="E148" s="3"/>
      <c r="F148" s="3"/>
      <c r="G148" s="91">
        <v>1</v>
      </c>
      <c r="H148" s="3">
        <f t="shared" si="14"/>
        <v>0</v>
      </c>
      <c r="I148" s="3"/>
      <c r="J148" s="3">
        <f t="shared" si="15"/>
        <v>0</v>
      </c>
    </row>
    <row r="149" spans="1:10" ht="15.75">
      <c r="A149" s="71" t="s">
        <v>538</v>
      </c>
      <c r="B149" s="66" t="s">
        <v>141</v>
      </c>
      <c r="C149" s="5" t="s">
        <v>221</v>
      </c>
      <c r="D149" s="3" t="str">
        <f>+D148</f>
        <v>CDAF15</v>
      </c>
      <c r="E149" s="3"/>
      <c r="F149" s="3"/>
      <c r="G149" s="91">
        <v>1</v>
      </c>
      <c r="H149" s="3">
        <f t="shared" si="14"/>
        <v>0</v>
      </c>
      <c r="I149" s="3"/>
      <c r="J149" s="3">
        <f t="shared" si="15"/>
        <v>0</v>
      </c>
    </row>
    <row r="150" spans="1:10" ht="16.5" thickBot="1">
      <c r="A150" s="71" t="s">
        <v>539</v>
      </c>
      <c r="B150" s="67" t="s">
        <v>142</v>
      </c>
      <c r="C150" s="5" t="s">
        <v>224</v>
      </c>
      <c r="D150" s="3" t="str">
        <f>+'[1]6.4.1Competenza professionale'!A22</f>
        <v>CDAF15</v>
      </c>
      <c r="E150" s="3"/>
      <c r="F150" s="3"/>
      <c r="G150" s="91">
        <v>1</v>
      </c>
      <c r="H150" s="3">
        <f t="shared" si="14"/>
        <v>0</v>
      </c>
      <c r="I150" s="3"/>
      <c r="J150" s="3">
        <f t="shared" si="15"/>
        <v>0</v>
      </c>
    </row>
    <row r="151" spans="1:10" ht="15.75">
      <c r="A151" s="71">
        <v>9</v>
      </c>
      <c r="B151" s="52" t="s">
        <v>143</v>
      </c>
      <c r="C151" s="5"/>
      <c r="D151" s="3"/>
      <c r="E151" s="78">
        <f>SUM(E152:E158)</f>
        <v>0</v>
      </c>
      <c r="F151" s="78">
        <f>SUM(F152:F158)</f>
        <v>0</v>
      </c>
      <c r="G151" s="87">
        <v>1</v>
      </c>
      <c r="H151" s="78">
        <f>SUM(H152:H158)</f>
        <v>0</v>
      </c>
      <c r="I151" s="93"/>
      <c r="J151" s="78">
        <f>SUM(J152:J158)</f>
        <v>0</v>
      </c>
    </row>
    <row r="152" spans="1:10" ht="31.5">
      <c r="A152" s="71" t="s">
        <v>540</v>
      </c>
      <c r="B152" s="6" t="s">
        <v>144</v>
      </c>
      <c r="C152" s="5" t="s">
        <v>225</v>
      </c>
      <c r="D152" s="3" t="str">
        <f>+'[1]6.4.1Competenza professionale'!A17</f>
        <v>CDAF10</v>
      </c>
      <c r="E152" s="3"/>
      <c r="F152" s="3"/>
      <c r="G152" s="91">
        <f>+G150</f>
        <v>1</v>
      </c>
      <c r="H152" s="3">
        <f>+E152*F152*G152</f>
        <v>0</v>
      </c>
      <c r="I152" s="3"/>
      <c r="J152" s="3">
        <f>+F152*I152</f>
        <v>0</v>
      </c>
    </row>
    <row r="153" spans="1:10" ht="15.75">
      <c r="A153" s="71" t="s">
        <v>541</v>
      </c>
      <c r="B153" s="54" t="s">
        <v>145</v>
      </c>
      <c r="C153" s="5" t="s">
        <v>221</v>
      </c>
      <c r="D153" s="3" t="str">
        <f>+'[1]6.4.1Competenza professionale'!A16</f>
        <v>CDAF9</v>
      </c>
      <c r="E153" s="3"/>
      <c r="F153" s="3"/>
      <c r="G153" s="91">
        <f aca="true" t="shared" si="16" ref="G153:G158">+G151</f>
        <v>1</v>
      </c>
      <c r="H153" s="3">
        <f aca="true" t="shared" si="17" ref="H153:H158">+E153*F153*G153</f>
        <v>0</v>
      </c>
      <c r="I153" s="3"/>
      <c r="J153" s="3">
        <f aca="true" t="shared" si="18" ref="J153:J158">+F153*I153</f>
        <v>0</v>
      </c>
    </row>
    <row r="154" spans="1:10" ht="15.75">
      <c r="A154" s="71" t="s">
        <v>542</v>
      </c>
      <c r="B154" s="54" t="s">
        <v>146</v>
      </c>
      <c r="C154" s="5" t="s">
        <v>226</v>
      </c>
      <c r="D154" s="3" t="str">
        <f>+'[1]6.4.1Competenza professionale'!A22</f>
        <v>CDAF15</v>
      </c>
      <c r="E154" s="3"/>
      <c r="F154" s="3"/>
      <c r="G154" s="91">
        <f t="shared" si="16"/>
        <v>1</v>
      </c>
      <c r="H154" s="3">
        <f t="shared" si="17"/>
        <v>0</v>
      </c>
      <c r="I154" s="3"/>
      <c r="J154" s="3">
        <f t="shared" si="18"/>
        <v>0</v>
      </c>
    </row>
    <row r="155" spans="1:10" ht="15.75">
      <c r="A155" s="71" t="s">
        <v>543</v>
      </c>
      <c r="B155" s="54" t="s">
        <v>147</v>
      </c>
      <c r="C155" s="5" t="s">
        <v>226</v>
      </c>
      <c r="D155" s="3" t="str">
        <f>+D154</f>
        <v>CDAF15</v>
      </c>
      <c r="E155" s="3"/>
      <c r="F155" s="3"/>
      <c r="G155" s="91">
        <f t="shared" si="16"/>
        <v>1</v>
      </c>
      <c r="H155" s="3">
        <f t="shared" si="17"/>
        <v>0</v>
      </c>
      <c r="I155" s="3"/>
      <c r="J155" s="3">
        <f t="shared" si="18"/>
        <v>0</v>
      </c>
    </row>
    <row r="156" spans="1:10" ht="15.75">
      <c r="A156" s="71" t="s">
        <v>544</v>
      </c>
      <c r="B156" s="54" t="s">
        <v>244</v>
      </c>
      <c r="C156" s="5" t="s">
        <v>226</v>
      </c>
      <c r="D156" s="3" t="str">
        <f>+'[1]6.4.1Competenza professionale'!A23</f>
        <v>CDAF16</v>
      </c>
      <c r="E156" s="3"/>
      <c r="F156" s="3"/>
      <c r="G156" s="91">
        <f t="shared" si="16"/>
        <v>1</v>
      </c>
      <c r="H156" s="3">
        <f t="shared" si="17"/>
        <v>0</v>
      </c>
      <c r="I156" s="3"/>
      <c r="J156" s="3">
        <f t="shared" si="18"/>
        <v>0</v>
      </c>
    </row>
    <row r="157" spans="1:10" ht="15.75">
      <c r="A157" s="71" t="s">
        <v>545</v>
      </c>
      <c r="B157" s="66" t="s">
        <v>148</v>
      </c>
      <c r="C157" s="5" t="s">
        <v>226</v>
      </c>
      <c r="D157" s="3" t="str">
        <f>+'[1]6.4.1Competenza professionale'!A22</f>
        <v>CDAF15</v>
      </c>
      <c r="E157" s="3"/>
      <c r="F157" s="3"/>
      <c r="G157" s="91">
        <f t="shared" si="16"/>
        <v>1</v>
      </c>
      <c r="H157" s="3">
        <f t="shared" si="17"/>
        <v>0</v>
      </c>
      <c r="I157" s="3"/>
      <c r="J157" s="3">
        <f t="shared" si="18"/>
        <v>0</v>
      </c>
    </row>
    <row r="158" spans="1:10" ht="16.5" thickBot="1">
      <c r="A158" s="71" t="s">
        <v>546</v>
      </c>
      <c r="B158" s="68" t="s">
        <v>149</v>
      </c>
      <c r="C158" s="5" t="s">
        <v>226</v>
      </c>
      <c r="D158" s="3" t="str">
        <f>+D157</f>
        <v>CDAF15</v>
      </c>
      <c r="E158" s="3"/>
      <c r="F158" s="3"/>
      <c r="G158" s="91">
        <f t="shared" si="16"/>
        <v>1</v>
      </c>
      <c r="H158" s="3">
        <f t="shared" si="17"/>
        <v>0</v>
      </c>
      <c r="I158" s="3"/>
      <c r="J158" s="3">
        <f t="shared" si="18"/>
        <v>0</v>
      </c>
    </row>
    <row r="159" spans="1:10" ht="15.75">
      <c r="A159" s="71">
        <v>10</v>
      </c>
      <c r="B159" s="69" t="s">
        <v>150</v>
      </c>
      <c r="C159" s="5"/>
      <c r="D159" s="3"/>
      <c r="E159" s="83">
        <f>SUM(E160:E165)</f>
        <v>0</v>
      </c>
      <c r="F159" s="83">
        <f>SUM(F160:F165)</f>
        <v>0</v>
      </c>
      <c r="G159" s="88">
        <v>0.5</v>
      </c>
      <c r="H159" s="83">
        <f>SUM(H160:H165)</f>
        <v>0</v>
      </c>
      <c r="I159" s="93"/>
      <c r="J159" s="83">
        <f>SUM(J160:J165)</f>
        <v>0</v>
      </c>
    </row>
    <row r="160" spans="1:10" ht="15.75">
      <c r="A160" s="71" t="s">
        <v>547</v>
      </c>
      <c r="B160" s="54" t="s">
        <v>151</v>
      </c>
      <c r="C160" s="5" t="s">
        <v>227</v>
      </c>
      <c r="D160" s="3" t="str">
        <f>+'[1]6.4.1Competenza professionale'!A23</f>
        <v>CDAF16</v>
      </c>
      <c r="E160" s="3"/>
      <c r="F160" s="3"/>
      <c r="G160" s="91">
        <v>0.5</v>
      </c>
      <c r="H160" s="3">
        <f>+E160*F160*G160</f>
        <v>0</v>
      </c>
      <c r="I160" s="3"/>
      <c r="J160" s="3">
        <f>+F160*I160</f>
        <v>0</v>
      </c>
    </row>
    <row r="161" spans="1:10" ht="15.75">
      <c r="A161" s="71" t="s">
        <v>548</v>
      </c>
      <c r="B161" s="59" t="s">
        <v>152</v>
      </c>
      <c r="C161" s="5" t="s">
        <v>227</v>
      </c>
      <c r="D161" s="3" t="str">
        <f>+D160</f>
        <v>CDAF16</v>
      </c>
      <c r="E161" s="3"/>
      <c r="F161" s="3"/>
      <c r="G161" s="91">
        <v>0.5</v>
      </c>
      <c r="H161" s="3">
        <f>+E161*F161*G161</f>
        <v>0</v>
      </c>
      <c r="I161" s="3"/>
      <c r="J161" s="3">
        <f>+F161*I161</f>
        <v>0</v>
      </c>
    </row>
    <row r="162" spans="1:10" ht="15.75">
      <c r="A162" s="71" t="s">
        <v>549</v>
      </c>
      <c r="B162" s="59" t="s">
        <v>153</v>
      </c>
      <c r="C162" s="5" t="s">
        <v>227</v>
      </c>
      <c r="D162" s="3" t="str">
        <f>+D161</f>
        <v>CDAF16</v>
      </c>
      <c r="E162" s="3"/>
      <c r="F162" s="3"/>
      <c r="G162" s="91">
        <v>0.5</v>
      </c>
      <c r="H162" s="3">
        <f>+E162*F162*G162</f>
        <v>0</v>
      </c>
      <c r="I162" s="3"/>
      <c r="J162" s="3">
        <f>+F162*I162</f>
        <v>0</v>
      </c>
    </row>
    <row r="163" spans="1:10" ht="15.75">
      <c r="A163" s="71" t="s">
        <v>550</v>
      </c>
      <c r="B163" s="59" t="s">
        <v>154</v>
      </c>
      <c r="C163" s="5" t="s">
        <v>227</v>
      </c>
      <c r="D163" s="3" t="str">
        <f>+D162</f>
        <v>CDAF16</v>
      </c>
      <c r="E163" s="3"/>
      <c r="F163" s="3"/>
      <c r="G163" s="91">
        <v>0.5</v>
      </c>
      <c r="H163" s="3">
        <f>+E163*F163*G163</f>
        <v>0</v>
      </c>
      <c r="I163" s="3"/>
      <c r="J163" s="3">
        <f>+F163*I163</f>
        <v>0</v>
      </c>
    </row>
    <row r="164" spans="1:10" ht="15.75">
      <c r="A164" s="71" t="s">
        <v>551</v>
      </c>
      <c r="B164" s="59" t="s">
        <v>155</v>
      </c>
      <c r="C164" s="5" t="s">
        <v>227</v>
      </c>
      <c r="D164" s="3" t="str">
        <f>+D163</f>
        <v>CDAF16</v>
      </c>
      <c r="E164" s="3"/>
      <c r="F164" s="3"/>
      <c r="G164" s="91">
        <v>0.5</v>
      </c>
      <c r="H164" s="3">
        <f>+E164*F164*G164</f>
        <v>0</v>
      </c>
      <c r="I164" s="3"/>
      <c r="J164" s="3">
        <f>+F164*I164</f>
        <v>0</v>
      </c>
    </row>
    <row r="165" spans="1:10" ht="15.75">
      <c r="A165" s="71" t="s">
        <v>552</v>
      </c>
      <c r="B165" s="59" t="s">
        <v>156</v>
      </c>
      <c r="C165" s="5" t="s">
        <v>227</v>
      </c>
      <c r="D165" s="3" t="str">
        <f>+D164</f>
        <v>CDAF16</v>
      </c>
      <c r="E165" s="3"/>
      <c r="F165" s="3"/>
      <c r="G165" s="91">
        <v>0.5</v>
      </c>
      <c r="H165" s="3">
        <f>+E165*F165*G165</f>
        <v>0</v>
      </c>
      <c r="I165" s="3"/>
      <c r="J165" s="3">
        <f>+F165*I165</f>
        <v>0</v>
      </c>
    </row>
    <row r="166" spans="1:10" ht="15.75">
      <c r="A166" s="71">
        <v>11</v>
      </c>
      <c r="B166" s="69" t="s">
        <v>157</v>
      </c>
      <c r="C166" s="5"/>
      <c r="D166" s="3"/>
      <c r="E166" s="83">
        <f>SUM(E167:E178)</f>
        <v>0</v>
      </c>
      <c r="F166" s="83">
        <f>SUM(F167:F178)</f>
        <v>0</v>
      </c>
      <c r="G166" s="88">
        <v>1</v>
      </c>
      <c r="H166" s="83">
        <f>SUM(H167:H178)</f>
        <v>0</v>
      </c>
      <c r="I166" s="93"/>
      <c r="J166" s="83">
        <f>SUM(J167:J178)</f>
        <v>0</v>
      </c>
    </row>
    <row r="167" spans="1:10" ht="15.75">
      <c r="A167" s="71" t="s">
        <v>553</v>
      </c>
      <c r="B167" s="56" t="s">
        <v>158</v>
      </c>
      <c r="C167" s="5" t="s">
        <v>228</v>
      </c>
      <c r="D167" s="3" t="str">
        <f>+'[1]6.4.1Competenza professionale'!A23</f>
        <v>CDAF16</v>
      </c>
      <c r="E167" s="3"/>
      <c r="F167" s="3"/>
      <c r="G167" s="91">
        <v>1</v>
      </c>
      <c r="H167" s="3">
        <f>+E167*F167*G167</f>
        <v>0</v>
      </c>
      <c r="I167" s="3"/>
      <c r="J167" s="3">
        <f>+F167*I167</f>
        <v>0</v>
      </c>
    </row>
    <row r="168" spans="1:10" ht="15.75">
      <c r="A168" s="71" t="s">
        <v>554</v>
      </c>
      <c r="B168" s="54" t="s">
        <v>159</v>
      </c>
      <c r="C168" s="5" t="s">
        <v>228</v>
      </c>
      <c r="D168" s="3" t="str">
        <f>+D167</f>
        <v>CDAF16</v>
      </c>
      <c r="E168" s="3"/>
      <c r="F168" s="3"/>
      <c r="G168" s="91">
        <v>1</v>
      </c>
      <c r="H168" s="3">
        <f aca="true" t="shared" si="19" ref="H168:H178">+E168*F168*G168</f>
        <v>0</v>
      </c>
      <c r="I168" s="3"/>
      <c r="J168" s="3">
        <f aca="true" t="shared" si="20" ref="J168:J178">+F168*I168</f>
        <v>0</v>
      </c>
    </row>
    <row r="169" spans="1:10" ht="15.75">
      <c r="A169" s="71" t="s">
        <v>555</v>
      </c>
      <c r="B169" s="54" t="s">
        <v>160</v>
      </c>
      <c r="C169" s="5" t="s">
        <v>228</v>
      </c>
      <c r="D169" s="3" t="str">
        <f aca="true" t="shared" si="21" ref="D169:D177">+D168</f>
        <v>CDAF16</v>
      </c>
      <c r="E169" s="3"/>
      <c r="F169" s="3"/>
      <c r="G169" s="91">
        <v>1</v>
      </c>
      <c r="H169" s="3">
        <f t="shared" si="19"/>
        <v>0</v>
      </c>
      <c r="I169" s="3"/>
      <c r="J169" s="3">
        <f t="shared" si="20"/>
        <v>0</v>
      </c>
    </row>
    <row r="170" spans="1:10" ht="15.75">
      <c r="A170" s="71" t="s">
        <v>556</v>
      </c>
      <c r="B170" s="54" t="s">
        <v>161</v>
      </c>
      <c r="C170" s="5" t="s">
        <v>228</v>
      </c>
      <c r="D170" s="3" t="str">
        <f t="shared" si="21"/>
        <v>CDAF16</v>
      </c>
      <c r="E170" s="3"/>
      <c r="F170" s="3"/>
      <c r="G170" s="91">
        <v>1</v>
      </c>
      <c r="H170" s="3">
        <f t="shared" si="19"/>
        <v>0</v>
      </c>
      <c r="I170" s="3"/>
      <c r="J170" s="3">
        <f t="shared" si="20"/>
        <v>0</v>
      </c>
    </row>
    <row r="171" spans="1:10" ht="15.75">
      <c r="A171" s="71" t="s">
        <v>557</v>
      </c>
      <c r="B171" s="54" t="s">
        <v>162</v>
      </c>
      <c r="C171" s="5" t="s">
        <v>228</v>
      </c>
      <c r="D171" s="3" t="str">
        <f t="shared" si="21"/>
        <v>CDAF16</v>
      </c>
      <c r="E171" s="3"/>
      <c r="F171" s="3"/>
      <c r="G171" s="91">
        <v>1</v>
      </c>
      <c r="H171" s="3">
        <f t="shared" si="19"/>
        <v>0</v>
      </c>
      <c r="I171" s="3"/>
      <c r="J171" s="3">
        <f t="shared" si="20"/>
        <v>0</v>
      </c>
    </row>
    <row r="172" spans="1:10" ht="15.75">
      <c r="A172" s="71" t="s">
        <v>558</v>
      </c>
      <c r="B172" s="54" t="s">
        <v>163</v>
      </c>
      <c r="C172" s="5" t="s">
        <v>228</v>
      </c>
      <c r="D172" s="3" t="str">
        <f t="shared" si="21"/>
        <v>CDAF16</v>
      </c>
      <c r="E172" s="3"/>
      <c r="F172" s="3"/>
      <c r="G172" s="91">
        <v>1</v>
      </c>
      <c r="H172" s="3">
        <f t="shared" si="19"/>
        <v>0</v>
      </c>
      <c r="I172" s="3"/>
      <c r="J172" s="3">
        <f t="shared" si="20"/>
        <v>0</v>
      </c>
    </row>
    <row r="173" spans="1:10" ht="15.75">
      <c r="A173" s="71" t="s">
        <v>559</v>
      </c>
      <c r="B173" s="54" t="s">
        <v>164</v>
      </c>
      <c r="C173" s="5" t="s">
        <v>228</v>
      </c>
      <c r="D173" s="3" t="str">
        <f t="shared" si="21"/>
        <v>CDAF16</v>
      </c>
      <c r="E173" s="3"/>
      <c r="F173" s="3"/>
      <c r="G173" s="91">
        <v>1</v>
      </c>
      <c r="H173" s="3">
        <f t="shared" si="19"/>
        <v>0</v>
      </c>
      <c r="I173" s="3"/>
      <c r="J173" s="3">
        <f t="shared" si="20"/>
        <v>0</v>
      </c>
    </row>
    <row r="174" spans="1:10" ht="15.75">
      <c r="A174" s="71" t="s">
        <v>560</v>
      </c>
      <c r="B174" s="54" t="s">
        <v>165</v>
      </c>
      <c r="C174" s="5" t="s">
        <v>228</v>
      </c>
      <c r="D174" s="3" t="str">
        <f t="shared" si="21"/>
        <v>CDAF16</v>
      </c>
      <c r="E174" s="3"/>
      <c r="F174" s="3"/>
      <c r="G174" s="91">
        <v>1</v>
      </c>
      <c r="H174" s="3">
        <f t="shared" si="19"/>
        <v>0</v>
      </c>
      <c r="I174" s="3"/>
      <c r="J174" s="3">
        <f t="shared" si="20"/>
        <v>0</v>
      </c>
    </row>
    <row r="175" spans="1:10" ht="15.75">
      <c r="A175" s="71" t="s">
        <v>561</v>
      </c>
      <c r="B175" s="54" t="s">
        <v>166</v>
      </c>
      <c r="C175" s="5" t="s">
        <v>228</v>
      </c>
      <c r="D175" s="3" t="str">
        <f t="shared" si="21"/>
        <v>CDAF16</v>
      </c>
      <c r="E175" s="3"/>
      <c r="F175" s="3"/>
      <c r="G175" s="91">
        <v>1</v>
      </c>
      <c r="H175" s="3">
        <f t="shared" si="19"/>
        <v>0</v>
      </c>
      <c r="I175" s="3"/>
      <c r="J175" s="3">
        <f t="shared" si="20"/>
        <v>0</v>
      </c>
    </row>
    <row r="176" spans="1:10" ht="15.75">
      <c r="A176" s="71" t="s">
        <v>562</v>
      </c>
      <c r="B176" s="54" t="s">
        <v>167</v>
      </c>
      <c r="C176" s="5" t="s">
        <v>228</v>
      </c>
      <c r="D176" s="3" t="str">
        <f t="shared" si="21"/>
        <v>CDAF16</v>
      </c>
      <c r="E176" s="3"/>
      <c r="F176" s="3"/>
      <c r="G176" s="91">
        <v>1</v>
      </c>
      <c r="H176" s="3">
        <f t="shared" si="19"/>
        <v>0</v>
      </c>
      <c r="I176" s="3"/>
      <c r="J176" s="3">
        <f t="shared" si="20"/>
        <v>0</v>
      </c>
    </row>
    <row r="177" spans="1:10" ht="15.75">
      <c r="A177" s="71" t="s">
        <v>563</v>
      </c>
      <c r="B177" s="54" t="s">
        <v>168</v>
      </c>
      <c r="C177" s="5" t="s">
        <v>228</v>
      </c>
      <c r="D177" s="3" t="str">
        <f t="shared" si="21"/>
        <v>CDAF16</v>
      </c>
      <c r="E177" s="3"/>
      <c r="F177" s="3"/>
      <c r="G177" s="91">
        <v>1</v>
      </c>
      <c r="H177" s="3">
        <f t="shared" si="19"/>
        <v>0</v>
      </c>
      <c r="I177" s="3"/>
      <c r="J177" s="3">
        <f t="shared" si="20"/>
        <v>0</v>
      </c>
    </row>
    <row r="178" spans="1:10" ht="15.75">
      <c r="A178" s="71" t="s">
        <v>564</v>
      </c>
      <c r="B178" s="56" t="s">
        <v>169</v>
      </c>
      <c r="C178" s="5" t="s">
        <v>228</v>
      </c>
      <c r="D178" s="3" t="str">
        <f>+'[1]6.4.1Competenza professionale'!A27</f>
        <v>CDAF20</v>
      </c>
      <c r="E178" s="3"/>
      <c r="F178" s="3"/>
      <c r="G178" s="91">
        <v>1</v>
      </c>
      <c r="H178" s="3">
        <f t="shared" si="19"/>
        <v>0</v>
      </c>
      <c r="I178" s="3"/>
      <c r="J178" s="3">
        <f t="shared" si="20"/>
        <v>0</v>
      </c>
    </row>
    <row r="179" spans="1:10" ht="15.75">
      <c r="A179" s="71">
        <v>12</v>
      </c>
      <c r="B179" s="52" t="s">
        <v>171</v>
      </c>
      <c r="C179" s="5" t="s">
        <v>229</v>
      </c>
      <c r="D179" s="3"/>
      <c r="E179" s="83">
        <f>SUM(E180:E184)</f>
        <v>0</v>
      </c>
      <c r="F179" s="83">
        <f>SUM(F180:F184)</f>
        <v>0</v>
      </c>
      <c r="G179" s="88">
        <v>1.15</v>
      </c>
      <c r="H179" s="83">
        <f>SUM(H180:H184)</f>
        <v>0</v>
      </c>
      <c r="I179" s="93"/>
      <c r="J179" s="83">
        <f>SUM(J180:J184)</f>
        <v>0</v>
      </c>
    </row>
    <row r="180" spans="1:10" ht="15.75">
      <c r="A180" s="71" t="s">
        <v>565</v>
      </c>
      <c r="B180" s="54" t="s">
        <v>245</v>
      </c>
      <c r="C180" s="5" t="s">
        <v>230</v>
      </c>
      <c r="D180" s="3" t="s">
        <v>246</v>
      </c>
      <c r="E180" s="3"/>
      <c r="F180" s="3"/>
      <c r="G180" s="91">
        <v>1.15</v>
      </c>
      <c r="H180" s="3">
        <f>+E180*F180*G180</f>
        <v>0</v>
      </c>
      <c r="I180" s="3"/>
      <c r="J180" s="3">
        <f>+F180*I180</f>
        <v>0</v>
      </c>
    </row>
    <row r="181" spans="1:10" ht="15.75">
      <c r="A181" s="71" t="s">
        <v>566</v>
      </c>
      <c r="B181" s="54" t="s">
        <v>247</v>
      </c>
      <c r="C181" s="5" t="s">
        <v>231</v>
      </c>
      <c r="D181" s="3" t="s">
        <v>246</v>
      </c>
      <c r="E181" s="3"/>
      <c r="F181" s="3"/>
      <c r="G181" s="91">
        <v>1.15</v>
      </c>
      <c r="H181" s="3">
        <f>+E181*F181*G181</f>
        <v>0</v>
      </c>
      <c r="I181" s="3"/>
      <c r="J181" s="3">
        <f>+F181*I181</f>
        <v>0</v>
      </c>
    </row>
    <row r="182" spans="1:10" ht="15.75">
      <c r="A182" s="71" t="s">
        <v>567</v>
      </c>
      <c r="B182" s="30" t="s">
        <v>248</v>
      </c>
      <c r="C182" s="5" t="s">
        <v>232</v>
      </c>
      <c r="D182" s="3" t="s">
        <v>246</v>
      </c>
      <c r="E182" s="3"/>
      <c r="F182" s="3"/>
      <c r="G182" s="91">
        <v>1.15</v>
      </c>
      <c r="H182" s="3">
        <f>+E182*F182*G182</f>
        <v>0</v>
      </c>
      <c r="I182" s="3"/>
      <c r="J182" s="3">
        <f>+F182*I182</f>
        <v>0</v>
      </c>
    </row>
    <row r="183" spans="1:10" ht="15.75">
      <c r="A183" s="71" t="s">
        <v>568</v>
      </c>
      <c r="B183" s="30" t="s">
        <v>249</v>
      </c>
      <c r="C183" s="5" t="s">
        <v>233</v>
      </c>
      <c r="D183" s="3" t="s">
        <v>246</v>
      </c>
      <c r="E183" s="3"/>
      <c r="F183" s="3"/>
      <c r="G183" s="91">
        <v>1.15</v>
      </c>
      <c r="H183" s="3">
        <f>+E183*F183*G183</f>
        <v>0</v>
      </c>
      <c r="I183" s="3"/>
      <c r="J183" s="3">
        <f>+F183*I183</f>
        <v>0</v>
      </c>
    </row>
    <row r="184" spans="1:10" ht="15.75">
      <c r="A184" s="71" t="s">
        <v>569</v>
      </c>
      <c r="B184" s="30" t="s">
        <v>250</v>
      </c>
      <c r="C184" s="5" t="s">
        <v>234</v>
      </c>
      <c r="D184" s="3" t="str">
        <f>+'[1]6.4.1Competenza professionale'!A11</f>
        <v>CDAF4</v>
      </c>
      <c r="E184" s="3"/>
      <c r="F184" s="3"/>
      <c r="G184" s="91">
        <v>1.15</v>
      </c>
      <c r="H184" s="3">
        <f>+E184*F184*G184</f>
        <v>0</v>
      </c>
      <c r="I184" s="3"/>
      <c r="J184" s="3">
        <f>+F184*I184</f>
        <v>0</v>
      </c>
    </row>
    <row r="185" spans="1:10" ht="15.75">
      <c r="A185" s="71">
        <v>13</v>
      </c>
      <c r="B185" s="69" t="s">
        <v>172</v>
      </c>
      <c r="C185" s="5"/>
      <c r="D185" s="3"/>
      <c r="E185" s="83">
        <f>SUM(E186:E189)</f>
        <v>0</v>
      </c>
      <c r="F185" s="83">
        <f>SUM(F186:F189)</f>
        <v>0</v>
      </c>
      <c r="G185" s="88">
        <v>1.15</v>
      </c>
      <c r="H185" s="83">
        <f>SUM(H186:H189)</f>
        <v>0</v>
      </c>
      <c r="I185" s="93"/>
      <c r="J185" s="83">
        <f>SUM(J186:J189)</f>
        <v>0</v>
      </c>
    </row>
    <row r="186" spans="1:10" ht="15.75">
      <c r="A186" s="71" t="s">
        <v>570</v>
      </c>
      <c r="B186" s="54" t="s">
        <v>173</v>
      </c>
      <c r="C186" s="5" t="s">
        <v>235</v>
      </c>
      <c r="D186" s="3" t="str">
        <f>+'[1]6.4.1Competenza professionale'!A32</f>
        <v>CDAF25</v>
      </c>
      <c r="E186" s="3"/>
      <c r="F186" s="3"/>
      <c r="G186" s="91">
        <v>1.15</v>
      </c>
      <c r="H186" s="3">
        <f>+E186*F186*G186</f>
        <v>0</v>
      </c>
      <c r="I186" s="3"/>
      <c r="J186" s="3">
        <f>+F186*I186</f>
        <v>0</v>
      </c>
    </row>
    <row r="187" spans="1:10" ht="15.75">
      <c r="A187" s="71" t="s">
        <v>571</v>
      </c>
      <c r="B187" s="54" t="s">
        <v>174</v>
      </c>
      <c r="C187" s="5" t="s">
        <v>236</v>
      </c>
      <c r="D187" s="3" t="str">
        <f>+D186</f>
        <v>CDAF25</v>
      </c>
      <c r="E187" s="3"/>
      <c r="F187" s="3"/>
      <c r="G187" s="91">
        <v>1.15</v>
      </c>
      <c r="H187" s="3">
        <f>+E187*F187*G187</f>
        <v>0</v>
      </c>
      <c r="I187" s="3"/>
      <c r="J187" s="3">
        <f>+F187*I187</f>
        <v>0</v>
      </c>
    </row>
    <row r="188" spans="1:10" ht="15.75">
      <c r="A188" s="71" t="s">
        <v>572</v>
      </c>
      <c r="B188" s="54" t="s">
        <v>175</v>
      </c>
      <c r="C188" s="5" t="s">
        <v>237</v>
      </c>
      <c r="D188" s="3" t="str">
        <f>+D187</f>
        <v>CDAF25</v>
      </c>
      <c r="E188" s="3"/>
      <c r="F188" s="3"/>
      <c r="G188" s="91">
        <v>1.15</v>
      </c>
      <c r="H188" s="3">
        <f>+E188*F188*G188</f>
        <v>0</v>
      </c>
      <c r="I188" s="3"/>
      <c r="J188" s="3">
        <f>+F188*I188</f>
        <v>0</v>
      </c>
    </row>
    <row r="189" spans="1:10" ht="16.5" thickBot="1">
      <c r="A189" s="71" t="s">
        <v>573</v>
      </c>
      <c r="B189" s="60" t="s">
        <v>176</v>
      </c>
      <c r="C189" s="5" t="s">
        <v>237</v>
      </c>
      <c r="D189" s="3" t="str">
        <f>+D188</f>
        <v>CDAF25</v>
      </c>
      <c r="E189" s="3"/>
      <c r="F189" s="3"/>
      <c r="G189" s="91">
        <v>1.15</v>
      </c>
      <c r="H189" s="3">
        <f>+E189*F189*G189</f>
        <v>0</v>
      </c>
      <c r="I189" s="3"/>
      <c r="J189" s="3">
        <f>+F189*I189</f>
        <v>0</v>
      </c>
    </row>
    <row r="192" spans="2:4" ht="16.5" thickBot="1">
      <c r="B192" s="10">
        <v>1</v>
      </c>
      <c r="C192" s="11" t="s">
        <v>181</v>
      </c>
      <c r="D192" s="11"/>
    </row>
    <row r="193" spans="2:5" ht="47.25">
      <c r="B193" s="20" t="s">
        <v>185</v>
      </c>
      <c r="C193" s="21" t="s">
        <v>183</v>
      </c>
      <c r="D193" s="22" t="s">
        <v>184</v>
      </c>
      <c r="E193" s="23" t="s">
        <v>182</v>
      </c>
    </row>
    <row r="194" spans="2:5" ht="31.5">
      <c r="B194" s="31" t="s">
        <v>0</v>
      </c>
      <c r="C194" s="12" t="s">
        <v>186</v>
      </c>
      <c r="D194" s="8" t="s">
        <v>189</v>
      </c>
      <c r="E194" s="13">
        <v>0.25</v>
      </c>
    </row>
    <row r="195" spans="2:5" ht="78.75">
      <c r="B195" s="31" t="s">
        <v>5</v>
      </c>
      <c r="C195" s="12" t="s">
        <v>187</v>
      </c>
      <c r="D195" s="8" t="s">
        <v>188</v>
      </c>
      <c r="E195" s="13">
        <v>0.5</v>
      </c>
    </row>
    <row r="196" spans="2:5" ht="63">
      <c r="B196" s="31" t="s">
        <v>17</v>
      </c>
      <c r="C196" s="12" t="s">
        <v>190</v>
      </c>
      <c r="D196" s="8" t="s">
        <v>192</v>
      </c>
      <c r="E196" s="13">
        <v>1</v>
      </c>
    </row>
    <row r="197" spans="2:5" ht="63.75" thickBot="1">
      <c r="B197" s="32" t="s">
        <v>47</v>
      </c>
      <c r="C197" s="14" t="s">
        <v>191</v>
      </c>
      <c r="D197" s="15" t="s">
        <v>193</v>
      </c>
      <c r="E197" s="16">
        <v>1.15</v>
      </c>
    </row>
    <row r="198" spans="2:5" ht="15.75">
      <c r="B198" s="4"/>
      <c r="C198" s="7"/>
      <c r="E198" s="9"/>
    </row>
    <row r="199" spans="1:5" ht="26.25">
      <c r="A199" s="74" t="s">
        <v>194</v>
      </c>
      <c r="B199" s="75" t="s">
        <v>575</v>
      </c>
      <c r="C199" s="7"/>
      <c r="E199" s="9"/>
    </row>
    <row r="200" spans="1:5" ht="26.25">
      <c r="A200" s="74" t="s">
        <v>246</v>
      </c>
      <c r="B200" s="3" t="s">
        <v>576</v>
      </c>
      <c r="C200" s="7"/>
      <c r="E200" s="9"/>
    </row>
    <row r="201" spans="1:5" ht="81.75" customHeight="1">
      <c r="A201" s="74" t="s">
        <v>574</v>
      </c>
      <c r="B201" s="76" t="s">
        <v>251</v>
      </c>
      <c r="D201" s="19"/>
      <c r="E201" s="19"/>
    </row>
    <row r="202" spans="1:2" ht="110.25">
      <c r="A202" s="74" t="s">
        <v>578</v>
      </c>
      <c r="B202" s="76" t="s">
        <v>579</v>
      </c>
    </row>
  </sheetData>
  <sheetProtection/>
  <printOptions/>
  <pageMargins left="0.7" right="0.7" top="0.75" bottom="0.75" header="0.3" footer="0.3"/>
  <pageSetup horizontalDpi="1200" verticalDpi="1200" orientation="portrait" paperSize="9" r:id="rId1"/>
  <customProperties>
    <customPr name="DVSECTIONID" r:id="rId2"/>
  </customProperties>
</worksheet>
</file>

<file path=xl/worksheets/sheet2.xml><?xml version="1.0" encoding="utf-8"?>
<worksheet xmlns="http://schemas.openxmlformats.org/spreadsheetml/2006/main" xmlns:r="http://schemas.openxmlformats.org/officeDocument/2006/relationships">
  <dimension ref="A1:D63"/>
  <sheetViews>
    <sheetView zoomScalePageLayoutView="0" workbookViewId="0" topLeftCell="A25">
      <selection activeCell="C9" sqref="C9"/>
    </sheetView>
  </sheetViews>
  <sheetFormatPr defaultColWidth="9.140625" defaultRowHeight="15"/>
  <cols>
    <col min="1" max="1" width="20.8515625" style="0" customWidth="1"/>
    <col min="2" max="2" width="22.00390625" style="0" customWidth="1"/>
    <col min="3" max="3" width="117.140625" style="0" customWidth="1"/>
    <col min="4" max="4" width="9.140625" style="0" hidden="1" customWidth="1"/>
    <col min="254" max="254" width="20.8515625" style="0" customWidth="1"/>
    <col min="255" max="255" width="22.00390625" style="0" customWidth="1"/>
    <col min="256" max="16384" width="117.140625" style="0" customWidth="1"/>
  </cols>
  <sheetData>
    <row r="1" spans="1:4" ht="18.75">
      <c r="A1" s="94"/>
      <c r="B1" s="96"/>
      <c r="C1" s="97"/>
      <c r="D1" s="34"/>
    </row>
    <row r="2" spans="1:4" ht="18.75">
      <c r="A2" s="95"/>
      <c r="B2" s="97"/>
      <c r="C2" s="97"/>
      <c r="D2" s="35"/>
    </row>
    <row r="3" spans="1:4" ht="18.75">
      <c r="A3" s="95"/>
      <c r="B3" s="98" t="s">
        <v>256</v>
      </c>
      <c r="C3" s="98"/>
      <c r="D3" s="35"/>
    </row>
    <row r="4" spans="1:4" ht="18.75">
      <c r="A4" s="95"/>
      <c r="B4" s="98"/>
      <c r="C4" s="98"/>
      <c r="D4" s="36"/>
    </row>
    <row r="5" spans="1:4" ht="18.75">
      <c r="A5" s="99" t="s">
        <v>257</v>
      </c>
      <c r="B5" s="99"/>
      <c r="C5" s="99"/>
      <c r="D5" s="99"/>
    </row>
    <row r="6" spans="1:4" ht="15">
      <c r="A6" s="104" t="s">
        <v>258</v>
      </c>
      <c r="B6" s="105" t="s">
        <v>259</v>
      </c>
      <c r="C6" s="106" t="s">
        <v>260</v>
      </c>
      <c r="D6" s="106"/>
    </row>
    <row r="7" spans="1:4" ht="15">
      <c r="A7" s="104"/>
      <c r="B7" s="105"/>
      <c r="C7" s="106"/>
      <c r="D7" s="106"/>
    </row>
    <row r="8" spans="1:4" ht="38.25">
      <c r="A8" s="38" t="s">
        <v>261</v>
      </c>
      <c r="B8" s="39" t="s">
        <v>262</v>
      </c>
      <c r="C8" s="40" t="s">
        <v>263</v>
      </c>
      <c r="D8" s="41"/>
    </row>
    <row r="9" spans="1:4" ht="51">
      <c r="A9" s="38" t="s">
        <v>264</v>
      </c>
      <c r="B9" s="39" t="s">
        <v>265</v>
      </c>
      <c r="C9" s="41" t="s">
        <v>266</v>
      </c>
      <c r="D9" s="42"/>
    </row>
    <row r="10" spans="1:4" ht="38.25">
      <c r="A10" s="38" t="s">
        <v>267</v>
      </c>
      <c r="B10" s="39" t="s">
        <v>268</v>
      </c>
      <c r="C10" s="41" t="s">
        <v>269</v>
      </c>
      <c r="D10" s="42"/>
    </row>
    <row r="11" spans="1:4" ht="63.75">
      <c r="A11" s="38" t="s">
        <v>270</v>
      </c>
      <c r="B11" s="39" t="s">
        <v>271</v>
      </c>
      <c r="C11" s="41" t="s">
        <v>272</v>
      </c>
      <c r="D11" s="42"/>
    </row>
    <row r="12" spans="1:4" ht="39">
      <c r="A12" s="38" t="s">
        <v>273</v>
      </c>
      <c r="B12" s="39" t="s">
        <v>274</v>
      </c>
      <c r="C12" s="43" t="s">
        <v>275</v>
      </c>
      <c r="D12" s="42"/>
    </row>
    <row r="13" spans="1:4" ht="39">
      <c r="A13" s="38" t="s">
        <v>276</v>
      </c>
      <c r="B13" s="39" t="s">
        <v>277</v>
      </c>
      <c r="C13" s="43" t="s">
        <v>278</v>
      </c>
      <c r="D13" s="42"/>
    </row>
    <row r="14" spans="1:4" ht="38.25">
      <c r="A14" s="38" t="s">
        <v>279</v>
      </c>
      <c r="B14" s="39" t="s">
        <v>280</v>
      </c>
      <c r="C14" s="43" t="s">
        <v>281</v>
      </c>
      <c r="D14" s="42"/>
    </row>
    <row r="15" spans="1:4" ht="38.25">
      <c r="A15" s="38" t="s">
        <v>282</v>
      </c>
      <c r="B15" s="39" t="s">
        <v>283</v>
      </c>
      <c r="C15" s="41" t="s">
        <v>284</v>
      </c>
      <c r="D15" s="42"/>
    </row>
    <row r="16" spans="1:4" ht="38.25">
      <c r="A16" s="38" t="s">
        <v>285</v>
      </c>
      <c r="B16" s="39" t="s">
        <v>286</v>
      </c>
      <c r="C16" s="41" t="s">
        <v>287</v>
      </c>
      <c r="D16" s="42"/>
    </row>
    <row r="17" spans="1:4" ht="51">
      <c r="A17" s="38" t="s">
        <v>288</v>
      </c>
      <c r="B17" s="39" t="s">
        <v>289</v>
      </c>
      <c r="C17" s="41" t="s">
        <v>290</v>
      </c>
      <c r="D17" s="42"/>
    </row>
    <row r="18" spans="1:4" ht="38.25">
      <c r="A18" s="38" t="s">
        <v>291</v>
      </c>
      <c r="B18" s="39" t="s">
        <v>292</v>
      </c>
      <c r="C18" s="41" t="s">
        <v>293</v>
      </c>
      <c r="D18" s="42"/>
    </row>
    <row r="19" spans="1:4" ht="38.25">
      <c r="A19" s="38" t="s">
        <v>294</v>
      </c>
      <c r="B19" s="39" t="s">
        <v>295</v>
      </c>
      <c r="C19" s="41" t="s">
        <v>296</v>
      </c>
      <c r="D19" s="42"/>
    </row>
    <row r="20" spans="1:4" ht="38.25">
      <c r="A20" s="38" t="s">
        <v>297</v>
      </c>
      <c r="B20" s="39" t="s">
        <v>298</v>
      </c>
      <c r="C20" s="41" t="s">
        <v>299</v>
      </c>
      <c r="D20" s="42"/>
    </row>
    <row r="21" spans="1:4" ht="38.25">
      <c r="A21" s="38" t="s">
        <v>300</v>
      </c>
      <c r="B21" s="39" t="s">
        <v>301</v>
      </c>
      <c r="C21" s="41" t="s">
        <v>302</v>
      </c>
      <c r="D21" s="42"/>
    </row>
    <row r="22" spans="1:4" ht="38.25">
      <c r="A22" s="38" t="s">
        <v>303</v>
      </c>
      <c r="B22" s="39" t="s">
        <v>304</v>
      </c>
      <c r="C22" s="41" t="s">
        <v>305</v>
      </c>
      <c r="D22" s="42"/>
    </row>
    <row r="23" spans="1:4" ht="51">
      <c r="A23" s="38" t="s">
        <v>306</v>
      </c>
      <c r="B23" s="39" t="s">
        <v>307</v>
      </c>
      <c r="C23" s="41" t="s">
        <v>308</v>
      </c>
      <c r="D23" s="42"/>
    </row>
    <row r="24" spans="1:4" ht="38.25">
      <c r="A24" s="38" t="s">
        <v>309</v>
      </c>
      <c r="B24" s="39" t="s">
        <v>310</v>
      </c>
      <c r="C24" s="41" t="s">
        <v>311</v>
      </c>
      <c r="D24" s="42"/>
    </row>
    <row r="25" spans="1:4" ht="38.25">
      <c r="A25" s="38" t="s">
        <v>312</v>
      </c>
      <c r="B25" s="39" t="s">
        <v>313</v>
      </c>
      <c r="C25" s="41" t="s">
        <v>314</v>
      </c>
      <c r="D25" s="42"/>
    </row>
    <row r="26" spans="1:4" ht="38.25">
      <c r="A26" s="38" t="s">
        <v>315</v>
      </c>
      <c r="B26" s="39" t="s">
        <v>316</v>
      </c>
      <c r="C26" s="41" t="s">
        <v>317</v>
      </c>
      <c r="D26" s="42"/>
    </row>
    <row r="27" spans="1:4" ht="38.25">
      <c r="A27" s="38" t="s">
        <v>318</v>
      </c>
      <c r="B27" s="39" t="s">
        <v>319</v>
      </c>
      <c r="C27" s="41" t="s">
        <v>320</v>
      </c>
      <c r="D27" s="42"/>
    </row>
    <row r="28" spans="1:4" ht="38.25">
      <c r="A28" s="38" t="s">
        <v>321</v>
      </c>
      <c r="B28" s="39" t="s">
        <v>322</v>
      </c>
      <c r="C28" s="41" t="s">
        <v>323</v>
      </c>
      <c r="D28" s="42"/>
    </row>
    <row r="29" spans="1:4" ht="38.25">
      <c r="A29" s="38" t="s">
        <v>324</v>
      </c>
      <c r="B29" s="39" t="s">
        <v>325</v>
      </c>
      <c r="C29" s="41" t="s">
        <v>326</v>
      </c>
      <c r="D29" s="42"/>
    </row>
    <row r="30" spans="1:4" ht="38.25">
      <c r="A30" s="38" t="s">
        <v>327</v>
      </c>
      <c r="B30" s="39" t="s">
        <v>328</v>
      </c>
      <c r="C30" s="41" t="s">
        <v>329</v>
      </c>
      <c r="D30" s="42"/>
    </row>
    <row r="31" spans="1:4" ht="51">
      <c r="A31" s="38" t="s">
        <v>330</v>
      </c>
      <c r="B31" s="39" t="s">
        <v>331</v>
      </c>
      <c r="C31" s="41" t="s">
        <v>332</v>
      </c>
      <c r="D31" s="42"/>
    </row>
    <row r="32" spans="1:4" ht="38.25">
      <c r="A32" s="38" t="s">
        <v>333</v>
      </c>
      <c r="B32" s="39" t="s">
        <v>334</v>
      </c>
      <c r="C32" s="41" t="s">
        <v>335</v>
      </c>
      <c r="D32" s="42"/>
    </row>
    <row r="33" spans="1:4" ht="63.75">
      <c r="A33" s="38" t="s">
        <v>336</v>
      </c>
      <c r="B33" s="39" t="s">
        <v>337</v>
      </c>
      <c r="C33" s="41" t="s">
        <v>338</v>
      </c>
      <c r="D33" s="42"/>
    </row>
    <row r="34" spans="1:4" ht="38.25">
      <c r="A34" s="38" t="s">
        <v>339</v>
      </c>
      <c r="B34" s="39" t="s">
        <v>340</v>
      </c>
      <c r="C34" s="41" t="s">
        <v>341</v>
      </c>
      <c r="D34" s="42"/>
    </row>
    <row r="35" spans="1:4" ht="15">
      <c r="A35" s="100"/>
      <c r="B35" s="100"/>
      <c r="C35" s="100"/>
      <c r="D35" s="42"/>
    </row>
    <row r="36" spans="1:4" ht="15.75">
      <c r="A36" s="44" t="s">
        <v>259</v>
      </c>
      <c r="B36" s="44"/>
      <c r="C36" s="45" t="s">
        <v>260</v>
      </c>
      <c r="D36" s="42"/>
    </row>
    <row r="37" spans="1:4" ht="39">
      <c r="A37" s="46" t="s">
        <v>342</v>
      </c>
      <c r="B37" s="46"/>
      <c r="C37" s="46" t="s">
        <v>343</v>
      </c>
      <c r="D37" s="42"/>
    </row>
    <row r="38" spans="1:4" ht="15">
      <c r="A38" s="43"/>
      <c r="B38" s="43"/>
      <c r="C38" s="46"/>
      <c r="D38" s="42"/>
    </row>
    <row r="39" spans="1:4" ht="18.75">
      <c r="A39" s="107" t="s">
        <v>344</v>
      </c>
      <c r="B39" s="107"/>
      <c r="C39" s="107"/>
      <c r="D39" s="42"/>
    </row>
    <row r="40" spans="1:4" ht="15.75">
      <c r="A40" s="108" t="s">
        <v>345</v>
      </c>
      <c r="B40" s="105" t="s">
        <v>259</v>
      </c>
      <c r="C40" s="45" t="s">
        <v>260</v>
      </c>
      <c r="D40" s="42"/>
    </row>
    <row r="41" spans="1:4" ht="25.5">
      <c r="A41" s="108"/>
      <c r="B41" s="105"/>
      <c r="C41" s="40" t="s">
        <v>346</v>
      </c>
      <c r="D41" s="42"/>
    </row>
    <row r="42" spans="1:4" ht="25.5">
      <c r="A42" s="47" t="s">
        <v>347</v>
      </c>
      <c r="B42" s="41" t="s">
        <v>348</v>
      </c>
      <c r="C42" s="41" t="s">
        <v>349</v>
      </c>
      <c r="D42" s="42"/>
    </row>
    <row r="43" spans="1:4" ht="38.25">
      <c r="A43" s="47" t="s">
        <v>350</v>
      </c>
      <c r="B43" s="41" t="s">
        <v>351</v>
      </c>
      <c r="C43" s="41" t="s">
        <v>352</v>
      </c>
      <c r="D43" s="42"/>
    </row>
    <row r="44" spans="1:4" ht="25.5">
      <c r="A44" s="47" t="s">
        <v>353</v>
      </c>
      <c r="B44" s="41" t="s">
        <v>354</v>
      </c>
      <c r="C44" s="41" t="s">
        <v>355</v>
      </c>
      <c r="D44" s="42"/>
    </row>
    <row r="45" spans="1:4" ht="25.5">
      <c r="A45" s="47" t="s">
        <v>356</v>
      </c>
      <c r="B45" s="41" t="s">
        <v>357</v>
      </c>
      <c r="C45" s="41" t="s">
        <v>358</v>
      </c>
      <c r="D45" s="42"/>
    </row>
    <row r="46" spans="1:4" ht="25.5">
      <c r="A46" s="47" t="s">
        <v>359</v>
      </c>
      <c r="B46" s="41" t="s">
        <v>360</v>
      </c>
      <c r="C46" s="48" t="s">
        <v>361</v>
      </c>
      <c r="D46" s="42"/>
    </row>
    <row r="47" spans="1:4" ht="25.5">
      <c r="A47" s="47" t="s">
        <v>362</v>
      </c>
      <c r="B47" s="41" t="s">
        <v>363</v>
      </c>
      <c r="C47" s="41" t="s">
        <v>364</v>
      </c>
      <c r="D47" s="42"/>
    </row>
    <row r="48" spans="1:4" ht="25.5">
      <c r="A48" s="47" t="s">
        <v>365</v>
      </c>
      <c r="B48" s="41" t="s">
        <v>366</v>
      </c>
      <c r="C48" s="41" t="s">
        <v>367</v>
      </c>
      <c r="D48" s="42"/>
    </row>
    <row r="49" spans="1:4" ht="25.5">
      <c r="A49" s="47" t="s">
        <v>368</v>
      </c>
      <c r="B49" s="41" t="s">
        <v>369</v>
      </c>
      <c r="C49" s="41" t="s">
        <v>370</v>
      </c>
      <c r="D49" s="42"/>
    </row>
    <row r="50" spans="1:4" ht="25.5">
      <c r="A50" s="47" t="s">
        <v>371</v>
      </c>
      <c r="B50" s="41" t="s">
        <v>372</v>
      </c>
      <c r="C50" s="41" t="s">
        <v>373</v>
      </c>
      <c r="D50" s="42"/>
    </row>
    <row r="51" spans="1:4" ht="15">
      <c r="A51" s="100"/>
      <c r="B51" s="100"/>
      <c r="C51" s="100"/>
      <c r="D51" s="42"/>
    </row>
    <row r="52" spans="1:4" ht="21">
      <c r="A52" s="101" t="s">
        <v>374</v>
      </c>
      <c r="B52" s="101"/>
      <c r="C52" s="101"/>
      <c r="D52" s="42"/>
    </row>
    <row r="53" spans="1:4" ht="15.75">
      <c r="A53" s="102" t="s">
        <v>345</v>
      </c>
      <c r="B53" s="103" t="s">
        <v>259</v>
      </c>
      <c r="C53" s="45" t="s">
        <v>260</v>
      </c>
      <c r="D53" s="42"/>
    </row>
    <row r="54" spans="1:4" ht="25.5">
      <c r="A54" s="102"/>
      <c r="B54" s="103"/>
      <c r="C54" s="40" t="s">
        <v>375</v>
      </c>
      <c r="D54" s="42"/>
    </row>
    <row r="55" spans="1:4" ht="25.5">
      <c r="A55" s="45" t="s">
        <v>376</v>
      </c>
      <c r="B55" s="49" t="s">
        <v>377</v>
      </c>
      <c r="C55" s="41" t="s">
        <v>378</v>
      </c>
      <c r="D55" s="42"/>
    </row>
    <row r="56" spans="1:4" ht="25.5">
      <c r="A56" s="45" t="s">
        <v>379</v>
      </c>
      <c r="B56" s="49" t="s">
        <v>380</v>
      </c>
      <c r="C56" s="50" t="s">
        <v>381</v>
      </c>
      <c r="D56" s="42"/>
    </row>
    <row r="57" spans="1:4" ht="25.5">
      <c r="A57" s="45" t="s">
        <v>382</v>
      </c>
      <c r="B57" s="49" t="s">
        <v>383</v>
      </c>
      <c r="C57" s="50" t="s">
        <v>384</v>
      </c>
      <c r="D57" s="42"/>
    </row>
    <row r="58" spans="1:4" ht="25.5">
      <c r="A58" s="45" t="s">
        <v>385</v>
      </c>
      <c r="B58" s="49" t="s">
        <v>386</v>
      </c>
      <c r="C58" s="41" t="s">
        <v>387</v>
      </c>
      <c r="D58" s="42"/>
    </row>
    <row r="59" spans="1:4" ht="25.5">
      <c r="A59" s="45" t="s">
        <v>388</v>
      </c>
      <c r="B59" s="49" t="s">
        <v>389</v>
      </c>
      <c r="C59" s="41" t="s">
        <v>390</v>
      </c>
      <c r="D59" s="42"/>
    </row>
    <row r="60" spans="1:4" ht="25.5">
      <c r="A60" s="45" t="s">
        <v>391</v>
      </c>
      <c r="B60" s="49" t="s">
        <v>392</v>
      </c>
      <c r="C60" s="41" t="s">
        <v>393</v>
      </c>
      <c r="D60" s="42"/>
    </row>
    <row r="61" spans="1:4" ht="25.5">
      <c r="A61" s="45" t="s">
        <v>394</v>
      </c>
      <c r="B61" s="49" t="s">
        <v>395</v>
      </c>
      <c r="C61" s="41" t="s">
        <v>396</v>
      </c>
      <c r="D61" s="42"/>
    </row>
    <row r="62" spans="1:4" ht="25.5">
      <c r="A62" s="45" t="s">
        <v>397</v>
      </c>
      <c r="B62" s="49" t="s">
        <v>398</v>
      </c>
      <c r="C62" s="41" t="s">
        <v>399</v>
      </c>
      <c r="D62" s="42"/>
    </row>
    <row r="63" spans="1:4" ht="25.5">
      <c r="A63" s="45" t="s">
        <v>400</v>
      </c>
      <c r="B63" s="49" t="s">
        <v>401</v>
      </c>
      <c r="C63" s="41" t="s">
        <v>402</v>
      </c>
      <c r="D63" s="42"/>
    </row>
  </sheetData>
  <sheetProtection/>
  <mergeCells count="15">
    <mergeCell ref="A52:C52"/>
    <mergeCell ref="A53:A54"/>
    <mergeCell ref="B53:B54"/>
    <mergeCell ref="A6:A7"/>
    <mergeCell ref="B6:B7"/>
    <mergeCell ref="C6:D7"/>
    <mergeCell ref="A35:C35"/>
    <mergeCell ref="A39:C39"/>
    <mergeCell ref="A40:A41"/>
    <mergeCell ref="B40:B41"/>
    <mergeCell ref="A1:A4"/>
    <mergeCell ref="B1:C2"/>
    <mergeCell ref="B3:C4"/>
    <mergeCell ref="A5:D5"/>
    <mergeCell ref="A51:C51"/>
  </mergeCells>
  <printOptions/>
  <pageMargins left="0.7" right="0.7" top="0.75" bottom="0.75" header="0.3" footer="0.3"/>
  <pageSetup orientation="portrait" paperSize="9"/>
  <customProperties>
    <customPr name="DVSECTIONID" r:id="rId1"/>
  </customProperties>
</worksheet>
</file>

<file path=xl/worksheets/sheet3.xml><?xml version="1.0" encoding="utf-8"?>
<worksheet xmlns="http://schemas.openxmlformats.org/spreadsheetml/2006/main" xmlns:r="http://schemas.openxmlformats.org/officeDocument/2006/relationships">
  <dimension ref="A1:IV7"/>
  <sheetViews>
    <sheetView zoomScalePageLayoutView="0" workbookViewId="0" topLeftCell="A1">
      <selection activeCell="A1" sqref="A1"/>
    </sheetView>
  </sheetViews>
  <sheetFormatPr defaultColWidth="9.140625" defaultRowHeight="15"/>
  <sheetData>
    <row r="1" spans="1:256" ht="15">
      <c r="A1" t="e">
        <f>IF(#REF!,"AAAAAANXXwA=",0)</f>
        <v>#REF!</v>
      </c>
      <c r="B1" t="e">
        <f>AND(#REF!,"AAAAAANXXwE=")</f>
        <v>#REF!</v>
      </c>
      <c r="C1" t="e">
        <f>AND(#REF!,"AAAAAANXXwI=")</f>
        <v>#REF!</v>
      </c>
      <c r="D1" t="e">
        <f>AND(#REF!,"AAAAAANXXwM=")</f>
        <v>#REF!</v>
      </c>
      <c r="E1" t="e">
        <f>AND(#REF!,"AAAAAANXXwQ=")</f>
        <v>#REF!</v>
      </c>
      <c r="F1" t="e">
        <f>AND(#REF!,"AAAAAANXXwU=")</f>
        <v>#REF!</v>
      </c>
      <c r="G1" t="e">
        <f>AND(#REF!,"AAAAAANXXwY=")</f>
        <v>#REF!</v>
      </c>
      <c r="H1" t="e">
        <f>AND(#REF!,"AAAAAANXXwc=")</f>
        <v>#REF!</v>
      </c>
      <c r="I1" t="e">
        <f>IF(#REF!,"AAAAAANXXwg=",0)</f>
        <v>#REF!</v>
      </c>
      <c r="J1" t="e">
        <f>AND(#REF!,"AAAAAANXXwk=")</f>
        <v>#REF!</v>
      </c>
      <c r="K1" t="e">
        <f>AND(#REF!,"AAAAAANXXwo=")</f>
        <v>#REF!</v>
      </c>
      <c r="L1" t="e">
        <f>AND(#REF!,"AAAAAANXXws=")</f>
        <v>#REF!</v>
      </c>
      <c r="M1" t="e">
        <f>AND(#REF!,"AAAAAANXXww=")</f>
        <v>#REF!</v>
      </c>
      <c r="N1" t="e">
        <f>AND(#REF!,"AAAAAANXXw0=")</f>
        <v>#REF!</v>
      </c>
      <c r="O1" t="e">
        <f>AND(#REF!,"AAAAAANXXw4=")</f>
        <v>#REF!</v>
      </c>
      <c r="P1" t="e">
        <f>AND(#REF!,"AAAAAANXXw8=")</f>
        <v>#REF!</v>
      </c>
      <c r="Q1" t="e">
        <f>IF(#REF!,"AAAAAANXXxA=",0)</f>
        <v>#REF!</v>
      </c>
      <c r="R1" t="e">
        <f>AND(#REF!,"AAAAAANXXxE=")</f>
        <v>#REF!</v>
      </c>
      <c r="S1" t="e">
        <f>AND(#REF!,"AAAAAANXXxI=")</f>
        <v>#REF!</v>
      </c>
      <c r="T1" t="e">
        <f>AND(#REF!,"AAAAAANXXxM=")</f>
        <v>#REF!</v>
      </c>
      <c r="U1" t="e">
        <f>AND(#REF!,"AAAAAANXXxQ=")</f>
        <v>#REF!</v>
      </c>
      <c r="V1" t="e">
        <f>AND(#REF!,"AAAAAANXXxU=")</f>
        <v>#REF!</v>
      </c>
      <c r="W1" t="e">
        <f>AND(#REF!,"AAAAAANXXxY=")</f>
        <v>#REF!</v>
      </c>
      <c r="X1" t="e">
        <f>AND(#REF!,"AAAAAANXXxc=")</f>
        <v>#REF!</v>
      </c>
      <c r="Y1" t="e">
        <f>IF(#REF!,"AAAAAANXXxg=",0)</f>
        <v>#REF!</v>
      </c>
      <c r="Z1" t="e">
        <f>AND(#REF!,"AAAAAANXXxk=")</f>
        <v>#REF!</v>
      </c>
      <c r="AA1" t="e">
        <f>AND(#REF!,"AAAAAANXXxo=")</f>
        <v>#REF!</v>
      </c>
      <c r="AB1" t="e">
        <f>AND(#REF!,"AAAAAANXXxs=")</f>
        <v>#REF!</v>
      </c>
      <c r="AC1" t="e">
        <f>AND(#REF!,"AAAAAANXXxw=")</f>
        <v>#REF!</v>
      </c>
      <c r="AD1" t="e">
        <f>AND(#REF!,"AAAAAANXXx0=")</f>
        <v>#REF!</v>
      </c>
      <c r="AE1" t="e">
        <f>AND(#REF!,"AAAAAANXXx4=")</f>
        <v>#REF!</v>
      </c>
      <c r="AF1" t="e">
        <f>AND(#REF!,"AAAAAANXXx8=")</f>
        <v>#REF!</v>
      </c>
      <c r="AG1" t="e">
        <f>IF(#REF!,"AAAAAANXXyA=",0)</f>
        <v>#REF!</v>
      </c>
      <c r="AH1" t="e">
        <f>AND(#REF!,"AAAAAANXXyE=")</f>
        <v>#REF!</v>
      </c>
      <c r="AI1" t="e">
        <f>AND(#REF!,"AAAAAANXXyI=")</f>
        <v>#REF!</v>
      </c>
      <c r="AJ1" t="e">
        <f>AND(#REF!,"AAAAAANXXyM=")</f>
        <v>#REF!</v>
      </c>
      <c r="AK1" t="e">
        <f>AND(#REF!,"AAAAAANXXyQ=")</f>
        <v>#REF!</v>
      </c>
      <c r="AL1" t="e">
        <f>AND(#REF!,"AAAAAANXXyU=")</f>
        <v>#REF!</v>
      </c>
      <c r="AM1" t="e">
        <f>AND(#REF!,"AAAAAANXXyY=")</f>
        <v>#REF!</v>
      </c>
      <c r="AN1" t="e">
        <f>AND(#REF!,"AAAAAANXXyc=")</f>
        <v>#REF!</v>
      </c>
      <c r="AO1" t="e">
        <f>IF(#REF!,"AAAAAANXXyg=",0)</f>
        <v>#REF!</v>
      </c>
      <c r="AP1" t="e">
        <f>AND(#REF!,"AAAAAANXXyk=")</f>
        <v>#REF!</v>
      </c>
      <c r="AQ1" t="e">
        <f>AND(#REF!,"AAAAAANXXyo=")</f>
        <v>#REF!</v>
      </c>
      <c r="AR1" t="e">
        <f>AND(#REF!,"AAAAAANXXys=")</f>
        <v>#REF!</v>
      </c>
      <c r="AS1" t="e">
        <f>AND(#REF!,"AAAAAANXXyw=")</f>
        <v>#REF!</v>
      </c>
      <c r="AT1" t="e">
        <f>AND(#REF!,"AAAAAANXXy0=")</f>
        <v>#REF!</v>
      </c>
      <c r="AU1" t="e">
        <f>AND(#REF!,"AAAAAANXXy4=")</f>
        <v>#REF!</v>
      </c>
      <c r="AV1" t="e">
        <f>AND(#REF!,"AAAAAANXXy8=")</f>
        <v>#REF!</v>
      </c>
      <c r="AW1" t="e">
        <f>IF(#REF!,"AAAAAANXXzA=",0)</f>
        <v>#REF!</v>
      </c>
      <c r="AX1" t="e">
        <f>AND(#REF!,"AAAAAANXXzE=")</f>
        <v>#REF!</v>
      </c>
      <c r="AY1" t="e">
        <f>AND(#REF!,"AAAAAANXXzI=")</f>
        <v>#REF!</v>
      </c>
      <c r="AZ1" t="e">
        <f>AND(#REF!,"AAAAAANXXzM=")</f>
        <v>#REF!</v>
      </c>
      <c r="BA1" t="e">
        <f>AND(#REF!,"AAAAAANXXzQ=")</f>
        <v>#REF!</v>
      </c>
      <c r="BB1" t="e">
        <f>AND(#REF!,"AAAAAANXXzU=")</f>
        <v>#REF!</v>
      </c>
      <c r="BC1" t="e">
        <f>AND(#REF!,"AAAAAANXXzY=")</f>
        <v>#REF!</v>
      </c>
      <c r="BD1" t="e">
        <f>AND(#REF!,"AAAAAANXXzc=")</f>
        <v>#REF!</v>
      </c>
      <c r="BE1" t="e">
        <f>IF(#REF!,"AAAAAANXXzg=",0)</f>
        <v>#REF!</v>
      </c>
      <c r="BF1" t="e">
        <f>AND(#REF!,"AAAAAANXXzk=")</f>
        <v>#REF!</v>
      </c>
      <c r="BG1" t="e">
        <f>AND(#REF!,"AAAAAANXXzo=")</f>
        <v>#REF!</v>
      </c>
      <c r="BH1" t="e">
        <f>AND(#REF!,"AAAAAANXXzs=")</f>
        <v>#REF!</v>
      </c>
      <c r="BI1" t="e">
        <f>AND(#REF!,"AAAAAANXXzw=")</f>
        <v>#REF!</v>
      </c>
      <c r="BJ1" t="e">
        <f>AND(#REF!,"AAAAAANXXz0=")</f>
        <v>#REF!</v>
      </c>
      <c r="BK1" t="e">
        <f>AND(#REF!,"AAAAAANXXz4=")</f>
        <v>#REF!</v>
      </c>
      <c r="BL1" t="e">
        <f>AND(#REF!,"AAAAAANXXz8=")</f>
        <v>#REF!</v>
      </c>
      <c r="BM1" t="e">
        <f>IF(#REF!,"AAAAAANXX0A=",0)</f>
        <v>#REF!</v>
      </c>
      <c r="BN1" t="e">
        <f>AND(#REF!,"AAAAAANXX0E=")</f>
        <v>#REF!</v>
      </c>
      <c r="BO1" t="e">
        <f>AND(#REF!,"AAAAAANXX0I=")</f>
        <v>#REF!</v>
      </c>
      <c r="BP1" t="e">
        <f>AND(#REF!,"AAAAAANXX0M=")</f>
        <v>#REF!</v>
      </c>
      <c r="BQ1" t="e">
        <f>AND(#REF!,"AAAAAANXX0Q=")</f>
        <v>#REF!</v>
      </c>
      <c r="BR1" t="e">
        <f>AND(#REF!,"AAAAAANXX0U=")</f>
        <v>#REF!</v>
      </c>
      <c r="BS1" t="e">
        <f>AND(#REF!,"AAAAAANXX0Y=")</f>
        <v>#REF!</v>
      </c>
      <c r="BT1" t="e">
        <f>AND(#REF!,"AAAAAANXX0c=")</f>
        <v>#REF!</v>
      </c>
      <c r="BU1" t="e">
        <f>IF(#REF!,"AAAAAANXX0g=",0)</f>
        <v>#REF!</v>
      </c>
      <c r="BV1" t="e">
        <f>AND(#REF!,"AAAAAANXX0k=")</f>
        <v>#REF!</v>
      </c>
      <c r="BW1" t="e">
        <f>AND(#REF!,"AAAAAANXX0o=")</f>
        <v>#REF!</v>
      </c>
      <c r="BX1" t="e">
        <f>AND(#REF!,"AAAAAANXX0s=")</f>
        <v>#REF!</v>
      </c>
      <c r="BY1" t="e">
        <f>AND(#REF!,"AAAAAANXX0w=")</f>
        <v>#REF!</v>
      </c>
      <c r="BZ1" t="e">
        <f>AND(#REF!,"AAAAAANXX00=")</f>
        <v>#REF!</v>
      </c>
      <c r="CA1" t="e">
        <f>AND(#REF!,"AAAAAANXX04=")</f>
        <v>#REF!</v>
      </c>
      <c r="CB1" t="e">
        <f>AND(#REF!,"AAAAAANXX08=")</f>
        <v>#REF!</v>
      </c>
      <c r="CC1" t="e">
        <f>IF(#REF!,"AAAAAANXX1A=",0)</f>
        <v>#REF!</v>
      </c>
      <c r="CD1" t="e">
        <f>AND(#REF!,"AAAAAANXX1E=")</f>
        <v>#REF!</v>
      </c>
      <c r="CE1" t="e">
        <f>AND(#REF!,"AAAAAANXX1I=")</f>
        <v>#REF!</v>
      </c>
      <c r="CF1" t="e">
        <f>AND(#REF!,"AAAAAANXX1M=")</f>
        <v>#REF!</v>
      </c>
      <c r="CG1" t="e">
        <f>AND(#REF!,"AAAAAANXX1Q=")</f>
        <v>#REF!</v>
      </c>
      <c r="CH1" t="e">
        <f>AND(#REF!,"AAAAAANXX1U=")</f>
        <v>#REF!</v>
      </c>
      <c r="CI1" t="e">
        <f>AND(#REF!,"AAAAAANXX1Y=")</f>
        <v>#REF!</v>
      </c>
      <c r="CJ1" t="e">
        <f>AND(#REF!,"AAAAAANXX1c=")</f>
        <v>#REF!</v>
      </c>
      <c r="CK1" t="e">
        <f>IF(#REF!,"AAAAAANXX1g=",0)</f>
        <v>#REF!</v>
      </c>
      <c r="CL1" t="e">
        <f>AND(#REF!,"AAAAAANXX1k=")</f>
        <v>#REF!</v>
      </c>
      <c r="CM1" t="e">
        <f>AND(#REF!,"AAAAAANXX1o=")</f>
        <v>#REF!</v>
      </c>
      <c r="CN1" t="e">
        <f>AND(#REF!,"AAAAAANXX1s=")</f>
        <v>#REF!</v>
      </c>
      <c r="CO1" t="e">
        <f>AND(#REF!,"AAAAAANXX1w=")</f>
        <v>#REF!</v>
      </c>
      <c r="CP1" t="e">
        <f>AND(#REF!,"AAAAAANXX10=")</f>
        <v>#REF!</v>
      </c>
      <c r="CQ1" t="e">
        <f>AND(#REF!,"AAAAAANXX14=")</f>
        <v>#REF!</v>
      </c>
      <c r="CR1" t="e">
        <f>AND(#REF!,"AAAAAANXX18=")</f>
        <v>#REF!</v>
      </c>
      <c r="CS1" t="e">
        <f>IF(#REF!,"AAAAAANXX2A=",0)</f>
        <v>#REF!</v>
      </c>
      <c r="CT1" t="e">
        <f>AND(#REF!,"AAAAAANXX2E=")</f>
        <v>#REF!</v>
      </c>
      <c r="CU1" t="e">
        <f>AND(#REF!,"AAAAAANXX2I=")</f>
        <v>#REF!</v>
      </c>
      <c r="CV1" t="e">
        <f>AND(#REF!,"AAAAAANXX2M=")</f>
        <v>#REF!</v>
      </c>
      <c r="CW1" t="e">
        <f>AND(#REF!,"AAAAAANXX2Q=")</f>
        <v>#REF!</v>
      </c>
      <c r="CX1" t="e">
        <f>AND(#REF!,"AAAAAANXX2U=")</f>
        <v>#REF!</v>
      </c>
      <c r="CY1" t="e">
        <f>AND(#REF!,"AAAAAANXX2Y=")</f>
        <v>#REF!</v>
      </c>
      <c r="CZ1" t="e">
        <f>AND(#REF!,"AAAAAANXX2c=")</f>
        <v>#REF!</v>
      </c>
      <c r="DA1" t="e">
        <f>IF(#REF!,"AAAAAANXX2g=",0)</f>
        <v>#REF!</v>
      </c>
      <c r="DB1" t="e">
        <f>AND(#REF!,"AAAAAANXX2k=")</f>
        <v>#REF!</v>
      </c>
      <c r="DC1" t="e">
        <f>AND(#REF!,"AAAAAANXX2o=")</f>
        <v>#REF!</v>
      </c>
      <c r="DD1" t="e">
        <f>AND(#REF!,"AAAAAANXX2s=")</f>
        <v>#REF!</v>
      </c>
      <c r="DE1" t="e">
        <f>AND(#REF!,"AAAAAANXX2w=")</f>
        <v>#REF!</v>
      </c>
      <c r="DF1" t="e">
        <f>AND(#REF!,"AAAAAANXX20=")</f>
        <v>#REF!</v>
      </c>
      <c r="DG1" t="e">
        <f>AND(#REF!,"AAAAAANXX24=")</f>
        <v>#REF!</v>
      </c>
      <c r="DH1" t="e">
        <f>AND(#REF!,"AAAAAANXX28=")</f>
        <v>#REF!</v>
      </c>
      <c r="DI1" t="e">
        <f>IF(#REF!,"AAAAAANXX3A=",0)</f>
        <v>#REF!</v>
      </c>
      <c r="DJ1" t="e">
        <f>AND(#REF!,"AAAAAANXX3E=")</f>
        <v>#REF!</v>
      </c>
      <c r="DK1" t="e">
        <f>AND(#REF!,"AAAAAANXX3I=")</f>
        <v>#REF!</v>
      </c>
      <c r="DL1" t="e">
        <f>AND(#REF!,"AAAAAANXX3M=")</f>
        <v>#REF!</v>
      </c>
      <c r="DM1" t="e">
        <f>AND(#REF!,"AAAAAANXX3Q=")</f>
        <v>#REF!</v>
      </c>
      <c r="DN1" t="e">
        <f>AND(#REF!,"AAAAAANXX3U=")</f>
        <v>#REF!</v>
      </c>
      <c r="DO1" t="e">
        <f>AND(#REF!,"AAAAAANXX3Y=")</f>
        <v>#REF!</v>
      </c>
      <c r="DP1" t="e">
        <f>AND(#REF!,"AAAAAANXX3c=")</f>
        <v>#REF!</v>
      </c>
      <c r="DQ1" t="e">
        <f>IF(#REF!,"AAAAAANXX3g=",0)</f>
        <v>#REF!</v>
      </c>
      <c r="DR1" t="e">
        <f>AND(#REF!,"AAAAAANXX3k=")</f>
        <v>#REF!</v>
      </c>
      <c r="DS1" t="e">
        <f>AND(#REF!,"AAAAAANXX3o=")</f>
        <v>#REF!</v>
      </c>
      <c r="DT1" t="e">
        <f>AND(#REF!,"AAAAAANXX3s=")</f>
        <v>#REF!</v>
      </c>
      <c r="DU1" t="e">
        <f>AND(#REF!,"AAAAAANXX3w=")</f>
        <v>#REF!</v>
      </c>
      <c r="DV1" t="e">
        <f>AND(#REF!,"AAAAAANXX30=")</f>
        <v>#REF!</v>
      </c>
      <c r="DW1" t="e">
        <f>AND(#REF!,"AAAAAANXX34=")</f>
        <v>#REF!</v>
      </c>
      <c r="DX1" t="e">
        <f>AND(#REF!,"AAAAAANXX38=")</f>
        <v>#REF!</v>
      </c>
      <c r="DY1" t="e">
        <f>IF(#REF!,"AAAAAANXX4A=",0)</f>
        <v>#REF!</v>
      </c>
      <c r="DZ1" t="e">
        <f>AND(#REF!,"AAAAAANXX4E=")</f>
        <v>#REF!</v>
      </c>
      <c r="EA1" t="e">
        <f>AND(#REF!,"AAAAAANXX4I=")</f>
        <v>#REF!</v>
      </c>
      <c r="EB1" t="e">
        <f>AND(#REF!,"AAAAAANXX4M=")</f>
        <v>#REF!</v>
      </c>
      <c r="EC1" t="e">
        <f>AND(#REF!,"AAAAAANXX4Q=")</f>
        <v>#REF!</v>
      </c>
      <c r="ED1" t="e">
        <f>AND(#REF!,"AAAAAANXX4U=")</f>
        <v>#REF!</v>
      </c>
      <c r="EE1" t="e">
        <f>AND(#REF!,"AAAAAANXX4Y=")</f>
        <v>#REF!</v>
      </c>
      <c r="EF1" t="e">
        <f>AND(#REF!,"AAAAAANXX4c=")</f>
        <v>#REF!</v>
      </c>
      <c r="EG1" t="e">
        <f>IF(#REF!,"AAAAAANXX4g=",0)</f>
        <v>#REF!</v>
      </c>
      <c r="EH1" t="e">
        <f>AND(#REF!,"AAAAAANXX4k=")</f>
        <v>#REF!</v>
      </c>
      <c r="EI1" t="e">
        <f>AND(#REF!,"AAAAAANXX4o=")</f>
        <v>#REF!</v>
      </c>
      <c r="EJ1" t="e">
        <f>AND(#REF!,"AAAAAANXX4s=")</f>
        <v>#REF!</v>
      </c>
      <c r="EK1" t="e">
        <f>AND(#REF!,"AAAAAANXX4w=")</f>
        <v>#REF!</v>
      </c>
      <c r="EL1" t="e">
        <f>AND(#REF!,"AAAAAANXX40=")</f>
        <v>#REF!</v>
      </c>
      <c r="EM1" t="e">
        <f>AND(#REF!,"AAAAAANXX44=")</f>
        <v>#REF!</v>
      </c>
      <c r="EN1" t="e">
        <f>AND(#REF!,"AAAAAANXX48=")</f>
        <v>#REF!</v>
      </c>
      <c r="EO1" t="e">
        <f>IF(#REF!,"AAAAAANXX5A=",0)</f>
        <v>#REF!</v>
      </c>
      <c r="EP1" t="e">
        <f>AND(#REF!,"AAAAAANXX5E=")</f>
        <v>#REF!</v>
      </c>
      <c r="EQ1" t="e">
        <f>AND(#REF!,"AAAAAANXX5I=")</f>
        <v>#REF!</v>
      </c>
      <c r="ER1" t="e">
        <f>AND(#REF!,"AAAAAANXX5M=")</f>
        <v>#REF!</v>
      </c>
      <c r="ES1" t="e">
        <f>AND(#REF!,"AAAAAANXX5Q=")</f>
        <v>#REF!</v>
      </c>
      <c r="ET1" t="e">
        <f>AND(#REF!,"AAAAAANXX5U=")</f>
        <v>#REF!</v>
      </c>
      <c r="EU1" t="e">
        <f>AND(#REF!,"AAAAAANXX5Y=")</f>
        <v>#REF!</v>
      </c>
      <c r="EV1" t="e">
        <f>AND(#REF!,"AAAAAANXX5c=")</f>
        <v>#REF!</v>
      </c>
      <c r="EW1" t="e">
        <f>IF(#REF!,"AAAAAANXX5g=",0)</f>
        <v>#REF!</v>
      </c>
      <c r="EX1" t="e">
        <f>AND(#REF!,"AAAAAANXX5k=")</f>
        <v>#REF!</v>
      </c>
      <c r="EY1" t="e">
        <f>AND(#REF!,"AAAAAANXX5o=")</f>
        <v>#REF!</v>
      </c>
      <c r="EZ1" t="e">
        <f>AND(#REF!,"AAAAAANXX5s=")</f>
        <v>#REF!</v>
      </c>
      <c r="FA1" t="e">
        <f>AND(#REF!,"AAAAAANXX5w=")</f>
        <v>#REF!</v>
      </c>
      <c r="FB1" t="e">
        <f>AND(#REF!,"AAAAAANXX50=")</f>
        <v>#REF!</v>
      </c>
      <c r="FC1" t="e">
        <f>AND(#REF!,"AAAAAANXX54=")</f>
        <v>#REF!</v>
      </c>
      <c r="FD1" t="e">
        <f>AND(#REF!,"AAAAAANXX58=")</f>
        <v>#REF!</v>
      </c>
      <c r="FE1" t="e">
        <f>IF(#REF!,"AAAAAANXX6A=",0)</f>
        <v>#REF!</v>
      </c>
      <c r="FF1" t="e">
        <f>AND(#REF!,"AAAAAANXX6E=")</f>
        <v>#REF!</v>
      </c>
      <c r="FG1" t="e">
        <f>AND(#REF!,"AAAAAANXX6I=")</f>
        <v>#REF!</v>
      </c>
      <c r="FH1" t="e">
        <f>AND(#REF!,"AAAAAANXX6M=")</f>
        <v>#REF!</v>
      </c>
      <c r="FI1" t="e">
        <f>AND(#REF!,"AAAAAANXX6Q=")</f>
        <v>#REF!</v>
      </c>
      <c r="FJ1" t="e">
        <f>AND(#REF!,"AAAAAANXX6U=")</f>
        <v>#REF!</v>
      </c>
      <c r="FK1" t="e">
        <f>AND(#REF!,"AAAAAANXX6Y=")</f>
        <v>#REF!</v>
      </c>
      <c r="FL1" t="e">
        <f>AND(#REF!,"AAAAAANXX6c=")</f>
        <v>#REF!</v>
      </c>
      <c r="FM1" t="e">
        <f>IF(#REF!,"AAAAAANXX6g=",0)</f>
        <v>#REF!</v>
      </c>
      <c r="FN1" t="e">
        <f>AND(#REF!,"AAAAAANXX6k=")</f>
        <v>#REF!</v>
      </c>
      <c r="FO1" t="e">
        <f>AND(#REF!,"AAAAAANXX6o=")</f>
        <v>#REF!</v>
      </c>
      <c r="FP1" t="e">
        <f>AND(#REF!,"AAAAAANXX6s=")</f>
        <v>#REF!</v>
      </c>
      <c r="FQ1" t="e">
        <f>AND(#REF!,"AAAAAANXX6w=")</f>
        <v>#REF!</v>
      </c>
      <c r="FR1" t="e">
        <f>AND(#REF!,"AAAAAANXX60=")</f>
        <v>#REF!</v>
      </c>
      <c r="FS1" t="e">
        <f>AND(#REF!,"AAAAAANXX64=")</f>
        <v>#REF!</v>
      </c>
      <c r="FT1" t="e">
        <f>AND(#REF!,"AAAAAANXX68=")</f>
        <v>#REF!</v>
      </c>
      <c r="FU1" t="e">
        <f>IF(#REF!,"AAAAAANXX7A=",0)</f>
        <v>#REF!</v>
      </c>
      <c r="FV1" t="e">
        <f>AND(#REF!,"AAAAAANXX7E=")</f>
        <v>#REF!</v>
      </c>
      <c r="FW1" t="e">
        <f>AND(#REF!,"AAAAAANXX7I=")</f>
        <v>#REF!</v>
      </c>
      <c r="FX1" t="e">
        <f>AND(#REF!,"AAAAAANXX7M=")</f>
        <v>#REF!</v>
      </c>
      <c r="FY1" t="e">
        <f>AND(#REF!,"AAAAAANXX7Q=")</f>
        <v>#REF!</v>
      </c>
      <c r="FZ1" t="e">
        <f>AND(#REF!,"AAAAAANXX7U=")</f>
        <v>#REF!</v>
      </c>
      <c r="GA1" t="e">
        <f>AND(#REF!,"AAAAAANXX7Y=")</f>
        <v>#REF!</v>
      </c>
      <c r="GB1" t="e">
        <f>AND(#REF!,"AAAAAANXX7c=")</f>
        <v>#REF!</v>
      </c>
      <c r="GC1" t="e">
        <f>IF(#REF!,"AAAAAANXX7g=",0)</f>
        <v>#REF!</v>
      </c>
      <c r="GD1" t="e">
        <f>AND(#REF!,"AAAAAANXX7k=")</f>
        <v>#REF!</v>
      </c>
      <c r="GE1" t="e">
        <f>AND(#REF!,"AAAAAANXX7o=")</f>
        <v>#REF!</v>
      </c>
      <c r="GF1" t="e">
        <f>AND(#REF!,"AAAAAANXX7s=")</f>
        <v>#REF!</v>
      </c>
      <c r="GG1" t="e">
        <f>AND(#REF!,"AAAAAANXX7w=")</f>
        <v>#REF!</v>
      </c>
      <c r="GH1" t="e">
        <f>AND(#REF!,"AAAAAANXX70=")</f>
        <v>#REF!</v>
      </c>
      <c r="GI1" t="e">
        <f>AND(#REF!,"AAAAAANXX74=")</f>
        <v>#REF!</v>
      </c>
      <c r="GJ1" t="e">
        <f>AND(#REF!,"AAAAAANXX78=")</f>
        <v>#REF!</v>
      </c>
      <c r="GK1" t="e">
        <f>IF(#REF!,"AAAAAANXX8A=",0)</f>
        <v>#REF!</v>
      </c>
      <c r="GL1" t="e">
        <f>AND(#REF!,"AAAAAANXX8E=")</f>
        <v>#REF!</v>
      </c>
      <c r="GM1" t="e">
        <f>AND(#REF!,"AAAAAANXX8I=")</f>
        <v>#REF!</v>
      </c>
      <c r="GN1" t="e">
        <f>AND(#REF!,"AAAAAANXX8M=")</f>
        <v>#REF!</v>
      </c>
      <c r="GO1" t="e">
        <f>AND(#REF!,"AAAAAANXX8Q=")</f>
        <v>#REF!</v>
      </c>
      <c r="GP1" t="e">
        <f>AND(#REF!,"AAAAAANXX8U=")</f>
        <v>#REF!</v>
      </c>
      <c r="GQ1" t="e">
        <f>AND(#REF!,"AAAAAANXX8Y=")</f>
        <v>#REF!</v>
      </c>
      <c r="GR1" t="e">
        <f>AND(#REF!,"AAAAAANXX8c=")</f>
        <v>#REF!</v>
      </c>
      <c r="GS1" t="e">
        <f>IF(#REF!,"AAAAAANXX8g=",0)</f>
        <v>#REF!</v>
      </c>
      <c r="GT1" t="e">
        <f>AND(#REF!,"AAAAAANXX8k=")</f>
        <v>#REF!</v>
      </c>
      <c r="GU1" t="e">
        <f>AND(#REF!,"AAAAAANXX8o=")</f>
        <v>#REF!</v>
      </c>
      <c r="GV1" t="e">
        <f>AND(#REF!,"AAAAAANXX8s=")</f>
        <v>#REF!</v>
      </c>
      <c r="GW1" t="e">
        <f>AND(#REF!,"AAAAAANXX8w=")</f>
        <v>#REF!</v>
      </c>
      <c r="GX1" t="e">
        <f>AND(#REF!,"AAAAAANXX80=")</f>
        <v>#REF!</v>
      </c>
      <c r="GY1" t="e">
        <f>AND(#REF!,"AAAAAANXX84=")</f>
        <v>#REF!</v>
      </c>
      <c r="GZ1" t="e">
        <f>AND(#REF!,"AAAAAANXX88=")</f>
        <v>#REF!</v>
      </c>
      <c r="HA1" t="e">
        <f>IF(#REF!,"AAAAAANXX9A=",0)</f>
        <v>#REF!</v>
      </c>
      <c r="HB1" t="e">
        <f>AND(#REF!,"AAAAAANXX9E=")</f>
        <v>#REF!</v>
      </c>
      <c r="HC1" t="e">
        <f>AND(#REF!,"AAAAAANXX9I=")</f>
        <v>#REF!</v>
      </c>
      <c r="HD1" t="e">
        <f>AND(#REF!,"AAAAAANXX9M=")</f>
        <v>#REF!</v>
      </c>
      <c r="HE1" t="e">
        <f>AND(#REF!,"AAAAAANXX9Q=")</f>
        <v>#REF!</v>
      </c>
      <c r="HF1" t="e">
        <f>AND(#REF!,"AAAAAANXX9U=")</f>
        <v>#REF!</v>
      </c>
      <c r="HG1" t="e">
        <f>AND(#REF!,"AAAAAANXX9Y=")</f>
        <v>#REF!</v>
      </c>
      <c r="HH1" t="e">
        <f>AND(#REF!,"AAAAAANXX9c=")</f>
        <v>#REF!</v>
      </c>
      <c r="HI1" t="e">
        <f>IF(#REF!,"AAAAAANXX9g=",0)</f>
        <v>#REF!</v>
      </c>
      <c r="HJ1" t="e">
        <f>AND(#REF!,"AAAAAANXX9k=")</f>
        <v>#REF!</v>
      </c>
      <c r="HK1" t="e">
        <f>AND(#REF!,"AAAAAANXX9o=")</f>
        <v>#REF!</v>
      </c>
      <c r="HL1" t="e">
        <f>AND(#REF!,"AAAAAANXX9s=")</f>
        <v>#REF!</v>
      </c>
      <c r="HM1" t="e">
        <f>AND(#REF!,"AAAAAANXX9w=")</f>
        <v>#REF!</v>
      </c>
      <c r="HN1" t="e">
        <f>AND(#REF!,"AAAAAANXX90=")</f>
        <v>#REF!</v>
      </c>
      <c r="HO1" t="e">
        <f>AND(#REF!,"AAAAAANXX94=")</f>
        <v>#REF!</v>
      </c>
      <c r="HP1" t="e">
        <f>AND(#REF!,"AAAAAANXX98=")</f>
        <v>#REF!</v>
      </c>
      <c r="HQ1" t="e">
        <f>IF(#REF!,"AAAAAANXX+A=",0)</f>
        <v>#REF!</v>
      </c>
      <c r="HR1" t="e">
        <f>AND(#REF!,"AAAAAANXX+E=")</f>
        <v>#REF!</v>
      </c>
      <c r="HS1" t="e">
        <f>AND(#REF!,"AAAAAANXX+I=")</f>
        <v>#REF!</v>
      </c>
      <c r="HT1" t="e">
        <f>AND(#REF!,"AAAAAANXX+M=")</f>
        <v>#REF!</v>
      </c>
      <c r="HU1" t="e">
        <f>AND(#REF!,"AAAAAANXX+Q=")</f>
        <v>#REF!</v>
      </c>
      <c r="HV1" t="e">
        <f>AND(#REF!,"AAAAAANXX+U=")</f>
        <v>#REF!</v>
      </c>
      <c r="HW1" t="e">
        <f>AND(#REF!,"AAAAAANXX+Y=")</f>
        <v>#REF!</v>
      </c>
      <c r="HX1" t="e">
        <f>AND(#REF!,"AAAAAANXX+c=")</f>
        <v>#REF!</v>
      </c>
      <c r="HY1" t="e">
        <f>IF(#REF!,"AAAAAANXX+g=",0)</f>
        <v>#REF!</v>
      </c>
      <c r="HZ1" t="e">
        <f>AND(#REF!,"AAAAAANXX+k=")</f>
        <v>#REF!</v>
      </c>
      <c r="IA1" t="e">
        <f>AND(#REF!,"AAAAAANXX+o=")</f>
        <v>#REF!</v>
      </c>
      <c r="IB1" t="e">
        <f>AND(#REF!,"AAAAAANXX+s=")</f>
        <v>#REF!</v>
      </c>
      <c r="IC1" t="e">
        <f>AND(#REF!,"AAAAAANXX+w=")</f>
        <v>#REF!</v>
      </c>
      <c r="ID1" t="e">
        <f>AND(#REF!,"AAAAAANXX+0=")</f>
        <v>#REF!</v>
      </c>
      <c r="IE1" t="e">
        <f>AND(#REF!,"AAAAAANXX+4=")</f>
        <v>#REF!</v>
      </c>
      <c r="IF1" t="e">
        <f>AND(#REF!,"AAAAAANXX+8=")</f>
        <v>#REF!</v>
      </c>
      <c r="IG1" t="e">
        <f>IF(#REF!,"AAAAAANXX/A=",0)</f>
        <v>#REF!</v>
      </c>
      <c r="IH1" t="e">
        <f>AND(#REF!,"AAAAAANXX/E=")</f>
        <v>#REF!</v>
      </c>
      <c r="II1" t="e">
        <f>AND(#REF!,"AAAAAANXX/I=")</f>
        <v>#REF!</v>
      </c>
      <c r="IJ1" t="e">
        <f>AND(#REF!,"AAAAAANXX/M=")</f>
        <v>#REF!</v>
      </c>
      <c r="IK1" t="e">
        <f>AND(#REF!,"AAAAAANXX/Q=")</f>
        <v>#REF!</v>
      </c>
      <c r="IL1" t="e">
        <f>AND(#REF!,"AAAAAANXX/U=")</f>
        <v>#REF!</v>
      </c>
      <c r="IM1" t="e">
        <f>AND(#REF!,"AAAAAANXX/Y=")</f>
        <v>#REF!</v>
      </c>
      <c r="IN1" t="e">
        <f>AND(#REF!,"AAAAAANXX/c=")</f>
        <v>#REF!</v>
      </c>
      <c r="IO1" t="e">
        <f>IF(#REF!,"AAAAAANXX/g=",0)</f>
        <v>#REF!</v>
      </c>
      <c r="IP1" t="e">
        <f>AND(#REF!,"AAAAAANXX/k=")</f>
        <v>#REF!</v>
      </c>
      <c r="IQ1" t="e">
        <f>AND(#REF!,"AAAAAANXX/o=")</f>
        <v>#REF!</v>
      </c>
      <c r="IR1" t="e">
        <f>AND(#REF!,"AAAAAANXX/s=")</f>
        <v>#REF!</v>
      </c>
      <c r="IS1" t="e">
        <f>AND(#REF!,"AAAAAANXX/w=")</f>
        <v>#REF!</v>
      </c>
      <c r="IT1" t="e">
        <f>AND(#REF!,"AAAAAANXX/0=")</f>
        <v>#REF!</v>
      </c>
      <c r="IU1" t="e">
        <f>AND(#REF!,"AAAAAANXX/4=")</f>
        <v>#REF!</v>
      </c>
      <c r="IV1" t="e">
        <f>AND(#REF!,"AAAAAANXX/8=")</f>
        <v>#REF!</v>
      </c>
    </row>
    <row r="2" spans="1:256" ht="15">
      <c r="A2" t="e">
        <f>IF(#REF!,"AAAAAH1r1wA=",0)</f>
        <v>#REF!</v>
      </c>
      <c r="B2" t="e">
        <f>AND(#REF!,"AAAAAH1r1wE=")</f>
        <v>#REF!</v>
      </c>
      <c r="C2" t="e">
        <f>AND(#REF!,"AAAAAH1r1wI=")</f>
        <v>#REF!</v>
      </c>
      <c r="D2" t="e">
        <f>AND(#REF!,"AAAAAH1r1wM=")</f>
        <v>#REF!</v>
      </c>
      <c r="E2" t="e">
        <f>AND(#REF!,"AAAAAH1r1wQ=")</f>
        <v>#REF!</v>
      </c>
      <c r="F2" t="e">
        <f>AND(#REF!,"AAAAAH1r1wU=")</f>
        <v>#REF!</v>
      </c>
      <c r="G2" t="e">
        <f>AND(#REF!,"AAAAAH1r1wY=")</f>
        <v>#REF!</v>
      </c>
      <c r="H2" t="e">
        <f>AND(#REF!,"AAAAAH1r1wc=")</f>
        <v>#REF!</v>
      </c>
      <c r="I2" t="e">
        <f>IF(#REF!,"AAAAAH1r1wg=",0)</f>
        <v>#REF!</v>
      </c>
      <c r="J2" t="e">
        <f>AND(#REF!,"AAAAAH1r1wk=")</f>
        <v>#REF!</v>
      </c>
      <c r="K2" t="e">
        <f>AND(#REF!,"AAAAAH1r1wo=")</f>
        <v>#REF!</v>
      </c>
      <c r="L2" t="e">
        <f>AND(#REF!,"AAAAAH1r1ws=")</f>
        <v>#REF!</v>
      </c>
      <c r="M2" t="e">
        <f>AND(#REF!,"AAAAAH1r1ww=")</f>
        <v>#REF!</v>
      </c>
      <c r="N2" t="e">
        <f>AND(#REF!,"AAAAAH1r1w0=")</f>
        <v>#REF!</v>
      </c>
      <c r="O2" t="e">
        <f>AND(#REF!,"AAAAAH1r1w4=")</f>
        <v>#REF!</v>
      </c>
      <c r="P2" t="e">
        <f>AND(#REF!,"AAAAAH1r1w8=")</f>
        <v>#REF!</v>
      </c>
      <c r="Q2" t="e">
        <f>IF(#REF!,"AAAAAH1r1xA=",0)</f>
        <v>#REF!</v>
      </c>
      <c r="R2" t="e">
        <f>AND(#REF!,"AAAAAH1r1xE=")</f>
        <v>#REF!</v>
      </c>
      <c r="S2" t="e">
        <f>AND(#REF!,"AAAAAH1r1xI=")</f>
        <v>#REF!</v>
      </c>
      <c r="T2" t="e">
        <f>AND(#REF!,"AAAAAH1r1xM=")</f>
        <v>#REF!</v>
      </c>
      <c r="U2" t="e">
        <f>AND(#REF!,"AAAAAH1r1xQ=")</f>
        <v>#REF!</v>
      </c>
      <c r="V2" t="e">
        <f>AND(#REF!,"AAAAAH1r1xU=")</f>
        <v>#REF!</v>
      </c>
      <c r="W2" t="e">
        <f>AND(#REF!,"AAAAAH1r1xY=")</f>
        <v>#REF!</v>
      </c>
      <c r="X2" t="e">
        <f>AND(#REF!,"AAAAAH1r1xc=")</f>
        <v>#REF!</v>
      </c>
      <c r="Y2" t="e">
        <f>IF(#REF!,"AAAAAH1r1xg=",0)</f>
        <v>#REF!</v>
      </c>
      <c r="Z2" t="e">
        <f>AND(#REF!,"AAAAAH1r1xk=")</f>
        <v>#REF!</v>
      </c>
      <c r="AA2" t="e">
        <f>AND(#REF!,"AAAAAH1r1xo=")</f>
        <v>#REF!</v>
      </c>
      <c r="AB2" t="e">
        <f>AND(#REF!,"AAAAAH1r1xs=")</f>
        <v>#REF!</v>
      </c>
      <c r="AC2" t="e">
        <f>AND(#REF!,"AAAAAH1r1xw=")</f>
        <v>#REF!</v>
      </c>
      <c r="AD2" t="e">
        <f>AND(#REF!,"AAAAAH1r1x0=")</f>
        <v>#REF!</v>
      </c>
      <c r="AE2" t="e">
        <f>AND(#REF!,"AAAAAH1r1x4=")</f>
        <v>#REF!</v>
      </c>
      <c r="AF2" t="e">
        <f>AND(#REF!,"AAAAAH1r1x8=")</f>
        <v>#REF!</v>
      </c>
      <c r="AG2" t="e">
        <f>IF(#REF!,"AAAAAH1r1yA=",0)</f>
        <v>#REF!</v>
      </c>
      <c r="AH2" t="e">
        <f>AND(#REF!,"AAAAAH1r1yE=")</f>
        <v>#REF!</v>
      </c>
      <c r="AI2" t="e">
        <f>AND(#REF!,"AAAAAH1r1yI=")</f>
        <v>#REF!</v>
      </c>
      <c r="AJ2" t="e">
        <f>AND(#REF!,"AAAAAH1r1yM=")</f>
        <v>#REF!</v>
      </c>
      <c r="AK2" t="e">
        <f>AND(#REF!,"AAAAAH1r1yQ=")</f>
        <v>#REF!</v>
      </c>
      <c r="AL2" t="e">
        <f>AND(#REF!,"AAAAAH1r1yU=")</f>
        <v>#REF!</v>
      </c>
      <c r="AM2" t="e">
        <f>AND(#REF!,"AAAAAH1r1yY=")</f>
        <v>#REF!</v>
      </c>
      <c r="AN2" t="e">
        <f>AND(#REF!,"AAAAAH1r1yc=")</f>
        <v>#REF!</v>
      </c>
      <c r="AO2" t="e">
        <f>IF(#REF!,"AAAAAH1r1yg=",0)</f>
        <v>#REF!</v>
      </c>
      <c r="AP2" t="e">
        <f>AND(#REF!,"AAAAAH1r1yk=")</f>
        <v>#REF!</v>
      </c>
      <c r="AQ2" t="e">
        <f>AND(#REF!,"AAAAAH1r1yo=")</f>
        <v>#REF!</v>
      </c>
      <c r="AR2" t="e">
        <f>AND(#REF!,"AAAAAH1r1ys=")</f>
        <v>#REF!</v>
      </c>
      <c r="AS2" t="e">
        <f>AND(#REF!,"AAAAAH1r1yw=")</f>
        <v>#REF!</v>
      </c>
      <c r="AT2" t="e">
        <f>AND(#REF!,"AAAAAH1r1y0=")</f>
        <v>#REF!</v>
      </c>
      <c r="AU2" t="e">
        <f>AND(#REF!,"AAAAAH1r1y4=")</f>
        <v>#REF!</v>
      </c>
      <c r="AV2" t="e">
        <f>AND(#REF!,"AAAAAH1r1y8=")</f>
        <v>#REF!</v>
      </c>
      <c r="AW2" t="e">
        <f>IF(#REF!,"AAAAAH1r1zA=",0)</f>
        <v>#REF!</v>
      </c>
      <c r="AX2" t="e">
        <f>AND(#REF!,"AAAAAH1r1zE=")</f>
        <v>#REF!</v>
      </c>
      <c r="AY2" t="e">
        <f>AND(#REF!,"AAAAAH1r1zI=")</f>
        <v>#REF!</v>
      </c>
      <c r="AZ2" t="e">
        <f>AND(#REF!,"AAAAAH1r1zM=")</f>
        <v>#REF!</v>
      </c>
      <c r="BA2" t="e">
        <f>AND(#REF!,"AAAAAH1r1zQ=")</f>
        <v>#REF!</v>
      </c>
      <c r="BB2" t="e">
        <f>AND(#REF!,"AAAAAH1r1zU=")</f>
        <v>#REF!</v>
      </c>
      <c r="BC2" t="e">
        <f>AND(#REF!,"AAAAAH1r1zY=")</f>
        <v>#REF!</v>
      </c>
      <c r="BD2" t="e">
        <f>AND(#REF!,"AAAAAH1r1zc=")</f>
        <v>#REF!</v>
      </c>
      <c r="BE2" t="e">
        <f>IF(#REF!,"AAAAAH1r1zg=",0)</f>
        <v>#REF!</v>
      </c>
      <c r="BF2" t="e">
        <f>AND(#REF!,"AAAAAH1r1zk=")</f>
        <v>#REF!</v>
      </c>
      <c r="BG2" t="e">
        <f>AND(#REF!,"AAAAAH1r1zo=")</f>
        <v>#REF!</v>
      </c>
      <c r="BH2" t="e">
        <f>AND(#REF!,"AAAAAH1r1zs=")</f>
        <v>#REF!</v>
      </c>
      <c r="BI2" t="e">
        <f>AND(#REF!,"AAAAAH1r1zw=")</f>
        <v>#REF!</v>
      </c>
      <c r="BJ2" t="e">
        <f>AND(#REF!,"AAAAAH1r1z0=")</f>
        <v>#REF!</v>
      </c>
      <c r="BK2" t="e">
        <f>AND(#REF!,"AAAAAH1r1z4=")</f>
        <v>#REF!</v>
      </c>
      <c r="BL2" t="e">
        <f>AND(#REF!,"AAAAAH1r1z8=")</f>
        <v>#REF!</v>
      </c>
      <c r="BM2" t="e">
        <f>IF(#REF!,"AAAAAH1r10A=",0)</f>
        <v>#REF!</v>
      </c>
      <c r="BN2" t="e">
        <f>AND(#REF!,"AAAAAH1r10E=")</f>
        <v>#REF!</v>
      </c>
      <c r="BO2" t="e">
        <f>AND(#REF!,"AAAAAH1r10I=")</f>
        <v>#REF!</v>
      </c>
      <c r="BP2" t="e">
        <f>AND(#REF!,"AAAAAH1r10M=")</f>
        <v>#REF!</v>
      </c>
      <c r="BQ2" t="e">
        <f>AND(#REF!,"AAAAAH1r10Q=")</f>
        <v>#REF!</v>
      </c>
      <c r="BR2" t="e">
        <f>AND(#REF!,"AAAAAH1r10U=")</f>
        <v>#REF!</v>
      </c>
      <c r="BS2" t="e">
        <f>AND(#REF!,"AAAAAH1r10Y=")</f>
        <v>#REF!</v>
      </c>
      <c r="BT2" t="e">
        <f>AND(#REF!,"AAAAAH1r10c=")</f>
        <v>#REF!</v>
      </c>
      <c r="BU2" t="e">
        <f>IF(#REF!,"AAAAAH1r10g=",0)</f>
        <v>#REF!</v>
      </c>
      <c r="BV2" t="e">
        <f>AND(#REF!,"AAAAAH1r10k=")</f>
        <v>#REF!</v>
      </c>
      <c r="BW2" t="e">
        <f>AND(#REF!,"AAAAAH1r10o=")</f>
        <v>#REF!</v>
      </c>
      <c r="BX2" t="e">
        <f>AND(#REF!,"AAAAAH1r10s=")</f>
        <v>#REF!</v>
      </c>
      <c r="BY2" t="e">
        <f>AND(#REF!,"AAAAAH1r10w=")</f>
        <v>#REF!</v>
      </c>
      <c r="BZ2" t="e">
        <f>AND(#REF!,"AAAAAH1r100=")</f>
        <v>#REF!</v>
      </c>
      <c r="CA2" t="e">
        <f>AND(#REF!,"AAAAAH1r104=")</f>
        <v>#REF!</v>
      </c>
      <c r="CB2" t="e">
        <f>AND(#REF!,"AAAAAH1r108=")</f>
        <v>#REF!</v>
      </c>
      <c r="CC2" t="e">
        <f>IF(#REF!,"AAAAAH1r11A=",0)</f>
        <v>#REF!</v>
      </c>
      <c r="CD2" t="e">
        <f>AND(#REF!,"AAAAAH1r11E=")</f>
        <v>#REF!</v>
      </c>
      <c r="CE2" t="e">
        <f>AND(#REF!,"AAAAAH1r11I=")</f>
        <v>#REF!</v>
      </c>
      <c r="CF2" t="e">
        <f>AND(#REF!,"AAAAAH1r11M=")</f>
        <v>#REF!</v>
      </c>
      <c r="CG2" t="e">
        <f>AND(#REF!,"AAAAAH1r11Q=")</f>
        <v>#REF!</v>
      </c>
      <c r="CH2" t="e">
        <f>AND(#REF!,"AAAAAH1r11U=")</f>
        <v>#REF!</v>
      </c>
      <c r="CI2" t="e">
        <f>AND(#REF!,"AAAAAH1r11Y=")</f>
        <v>#REF!</v>
      </c>
      <c r="CJ2" t="e">
        <f>AND(#REF!,"AAAAAH1r11c=")</f>
        <v>#REF!</v>
      </c>
      <c r="CK2" t="e">
        <f>IF(#REF!,"AAAAAH1r11g=",0)</f>
        <v>#REF!</v>
      </c>
      <c r="CL2" t="e">
        <f>AND(#REF!,"AAAAAH1r11k=")</f>
        <v>#REF!</v>
      </c>
      <c r="CM2" t="e">
        <f>AND(#REF!,"AAAAAH1r11o=")</f>
        <v>#REF!</v>
      </c>
      <c r="CN2" t="e">
        <f>AND(#REF!,"AAAAAH1r11s=")</f>
        <v>#REF!</v>
      </c>
      <c r="CO2" t="e">
        <f>AND(#REF!,"AAAAAH1r11w=")</f>
        <v>#REF!</v>
      </c>
      <c r="CP2" t="e">
        <f>AND(#REF!,"AAAAAH1r110=")</f>
        <v>#REF!</v>
      </c>
      <c r="CQ2" t="e">
        <f>AND(#REF!,"AAAAAH1r114=")</f>
        <v>#REF!</v>
      </c>
      <c r="CR2" t="e">
        <f>AND(#REF!,"AAAAAH1r118=")</f>
        <v>#REF!</v>
      </c>
      <c r="CS2" t="e">
        <f>IF(#REF!,"AAAAAH1r12A=",0)</f>
        <v>#REF!</v>
      </c>
      <c r="CT2" t="e">
        <f>AND(#REF!,"AAAAAH1r12E=")</f>
        <v>#REF!</v>
      </c>
      <c r="CU2" t="e">
        <f>AND(#REF!,"AAAAAH1r12I=")</f>
        <v>#REF!</v>
      </c>
      <c r="CV2" t="e">
        <f>AND(#REF!,"AAAAAH1r12M=")</f>
        <v>#REF!</v>
      </c>
      <c r="CW2" t="e">
        <f>AND(#REF!,"AAAAAH1r12Q=")</f>
        <v>#REF!</v>
      </c>
      <c r="CX2" t="e">
        <f>AND(#REF!,"AAAAAH1r12U=")</f>
        <v>#REF!</v>
      </c>
      <c r="CY2" t="e">
        <f>AND(#REF!,"AAAAAH1r12Y=")</f>
        <v>#REF!</v>
      </c>
      <c r="CZ2" t="e">
        <f>AND(#REF!,"AAAAAH1r12c=")</f>
        <v>#REF!</v>
      </c>
      <c r="DA2" t="e">
        <f>IF(#REF!,"AAAAAH1r12g=",0)</f>
        <v>#REF!</v>
      </c>
      <c r="DB2" t="e">
        <f>AND(#REF!,"AAAAAH1r12k=")</f>
        <v>#REF!</v>
      </c>
      <c r="DC2" t="e">
        <f>AND(#REF!,"AAAAAH1r12o=")</f>
        <v>#REF!</v>
      </c>
      <c r="DD2" t="e">
        <f>AND(#REF!,"AAAAAH1r12s=")</f>
        <v>#REF!</v>
      </c>
      <c r="DE2" t="e">
        <f>AND(#REF!,"AAAAAH1r12w=")</f>
        <v>#REF!</v>
      </c>
      <c r="DF2" t="e">
        <f>AND(#REF!,"AAAAAH1r120=")</f>
        <v>#REF!</v>
      </c>
      <c r="DG2" t="e">
        <f>AND(#REF!,"AAAAAH1r124=")</f>
        <v>#REF!</v>
      </c>
      <c r="DH2" t="e">
        <f>AND(#REF!,"AAAAAH1r128=")</f>
        <v>#REF!</v>
      </c>
      <c r="DI2" t="e">
        <f>IF(#REF!,"AAAAAH1r13A=",0)</f>
        <v>#REF!</v>
      </c>
      <c r="DJ2" t="e">
        <f>AND(#REF!,"AAAAAH1r13E=")</f>
        <v>#REF!</v>
      </c>
      <c r="DK2" t="e">
        <f>AND(#REF!,"AAAAAH1r13I=")</f>
        <v>#REF!</v>
      </c>
      <c r="DL2" t="e">
        <f>AND(#REF!,"AAAAAH1r13M=")</f>
        <v>#REF!</v>
      </c>
      <c r="DM2" t="e">
        <f>AND(#REF!,"AAAAAH1r13Q=")</f>
        <v>#REF!</v>
      </c>
      <c r="DN2" t="e">
        <f>AND(#REF!,"AAAAAH1r13U=")</f>
        <v>#REF!</v>
      </c>
      <c r="DO2" t="e">
        <f>AND(#REF!,"AAAAAH1r13Y=")</f>
        <v>#REF!</v>
      </c>
      <c r="DP2" t="e">
        <f>AND(#REF!,"AAAAAH1r13c=")</f>
        <v>#REF!</v>
      </c>
      <c r="DQ2" t="e">
        <f>IF(#REF!,"AAAAAH1r13g=",0)</f>
        <v>#REF!</v>
      </c>
      <c r="DR2" t="e">
        <f>AND(#REF!,"AAAAAH1r13k=")</f>
        <v>#REF!</v>
      </c>
      <c r="DS2" t="e">
        <f>AND(#REF!,"AAAAAH1r13o=")</f>
        <v>#REF!</v>
      </c>
      <c r="DT2" t="e">
        <f>AND(#REF!,"AAAAAH1r13s=")</f>
        <v>#REF!</v>
      </c>
      <c r="DU2" t="e">
        <f>AND(#REF!,"AAAAAH1r13w=")</f>
        <v>#REF!</v>
      </c>
      <c r="DV2" t="e">
        <f>AND(#REF!,"AAAAAH1r130=")</f>
        <v>#REF!</v>
      </c>
      <c r="DW2" t="e">
        <f>AND(#REF!,"AAAAAH1r134=")</f>
        <v>#REF!</v>
      </c>
      <c r="DX2" t="e">
        <f>AND(#REF!,"AAAAAH1r138=")</f>
        <v>#REF!</v>
      </c>
      <c r="DY2" t="e">
        <f>IF(#REF!,"AAAAAH1r14A=",0)</f>
        <v>#REF!</v>
      </c>
      <c r="DZ2" t="e">
        <f>AND(#REF!,"AAAAAH1r14E=")</f>
        <v>#REF!</v>
      </c>
      <c r="EA2" t="e">
        <f>AND(#REF!,"AAAAAH1r14I=")</f>
        <v>#REF!</v>
      </c>
      <c r="EB2" t="e">
        <f>AND(#REF!,"AAAAAH1r14M=")</f>
        <v>#REF!</v>
      </c>
      <c r="EC2" t="e">
        <f>AND(#REF!,"AAAAAH1r14Q=")</f>
        <v>#REF!</v>
      </c>
      <c r="ED2" t="e">
        <f>AND(#REF!,"AAAAAH1r14U=")</f>
        <v>#REF!</v>
      </c>
      <c r="EE2" t="e">
        <f>AND(#REF!,"AAAAAH1r14Y=")</f>
        <v>#REF!</v>
      </c>
      <c r="EF2" t="e">
        <f>AND(#REF!,"AAAAAH1r14c=")</f>
        <v>#REF!</v>
      </c>
      <c r="EG2" t="e">
        <f>IF(#REF!,"AAAAAH1r14g=",0)</f>
        <v>#REF!</v>
      </c>
      <c r="EH2" t="e">
        <f>AND(#REF!,"AAAAAH1r14k=")</f>
        <v>#REF!</v>
      </c>
      <c r="EI2" t="e">
        <f>AND(#REF!,"AAAAAH1r14o=")</f>
        <v>#REF!</v>
      </c>
      <c r="EJ2" t="e">
        <f>AND(#REF!,"AAAAAH1r14s=")</f>
        <v>#REF!</v>
      </c>
      <c r="EK2" t="e">
        <f>AND(#REF!,"AAAAAH1r14w=")</f>
        <v>#REF!</v>
      </c>
      <c r="EL2" t="e">
        <f>AND(#REF!,"AAAAAH1r140=")</f>
        <v>#REF!</v>
      </c>
      <c r="EM2" t="e">
        <f>AND(#REF!,"AAAAAH1r144=")</f>
        <v>#REF!</v>
      </c>
      <c r="EN2" t="e">
        <f>AND(#REF!,"AAAAAH1r148=")</f>
        <v>#REF!</v>
      </c>
      <c r="EO2" t="e">
        <f>IF(#REF!,"AAAAAH1r15A=",0)</f>
        <v>#REF!</v>
      </c>
      <c r="EP2" t="e">
        <f>AND(#REF!,"AAAAAH1r15E=")</f>
        <v>#REF!</v>
      </c>
      <c r="EQ2" t="e">
        <f>AND(#REF!,"AAAAAH1r15I=")</f>
        <v>#REF!</v>
      </c>
      <c r="ER2" t="e">
        <f>AND(#REF!,"AAAAAH1r15M=")</f>
        <v>#REF!</v>
      </c>
      <c r="ES2" t="e">
        <f>AND(#REF!,"AAAAAH1r15Q=")</f>
        <v>#REF!</v>
      </c>
      <c r="ET2" t="e">
        <f>AND(#REF!,"AAAAAH1r15U=")</f>
        <v>#REF!</v>
      </c>
      <c r="EU2" t="e">
        <f>AND(#REF!,"AAAAAH1r15Y=")</f>
        <v>#REF!</v>
      </c>
      <c r="EV2" t="e">
        <f>AND(#REF!,"AAAAAH1r15c=")</f>
        <v>#REF!</v>
      </c>
      <c r="EW2" t="e">
        <f>IF(#REF!,"AAAAAH1r15g=",0)</f>
        <v>#REF!</v>
      </c>
      <c r="EX2" t="e">
        <f>AND(#REF!,"AAAAAH1r15k=")</f>
        <v>#REF!</v>
      </c>
      <c r="EY2" t="e">
        <f>AND(#REF!,"AAAAAH1r15o=")</f>
        <v>#REF!</v>
      </c>
      <c r="EZ2" t="e">
        <f>AND(#REF!,"AAAAAH1r15s=")</f>
        <v>#REF!</v>
      </c>
      <c r="FA2" t="e">
        <f>AND(#REF!,"AAAAAH1r15w=")</f>
        <v>#REF!</v>
      </c>
      <c r="FB2" t="e">
        <f>AND(#REF!,"AAAAAH1r150=")</f>
        <v>#REF!</v>
      </c>
      <c r="FC2" t="e">
        <f>AND(#REF!,"AAAAAH1r154=")</f>
        <v>#REF!</v>
      </c>
      <c r="FD2" t="e">
        <f>AND(#REF!,"AAAAAH1r158=")</f>
        <v>#REF!</v>
      </c>
      <c r="FE2" t="e">
        <f>IF(#REF!,"AAAAAH1r16A=",0)</f>
        <v>#REF!</v>
      </c>
      <c r="FF2" t="e">
        <f>AND(#REF!,"AAAAAH1r16E=")</f>
        <v>#REF!</v>
      </c>
      <c r="FG2" t="e">
        <f>AND(#REF!,"AAAAAH1r16I=")</f>
        <v>#REF!</v>
      </c>
      <c r="FH2" t="e">
        <f>AND(#REF!,"AAAAAH1r16M=")</f>
        <v>#REF!</v>
      </c>
      <c r="FI2" t="e">
        <f>AND(#REF!,"AAAAAH1r16Q=")</f>
        <v>#REF!</v>
      </c>
      <c r="FJ2" t="e">
        <f>AND(#REF!,"AAAAAH1r16U=")</f>
        <v>#REF!</v>
      </c>
      <c r="FK2" t="e">
        <f>AND(#REF!,"AAAAAH1r16Y=")</f>
        <v>#REF!</v>
      </c>
      <c r="FL2" t="e">
        <f>AND(#REF!,"AAAAAH1r16c=")</f>
        <v>#REF!</v>
      </c>
      <c r="FM2" t="e">
        <f>IF(#REF!,"AAAAAH1r16g=",0)</f>
        <v>#REF!</v>
      </c>
      <c r="FN2" t="e">
        <f>AND(#REF!,"AAAAAH1r16k=")</f>
        <v>#REF!</v>
      </c>
      <c r="FO2" t="e">
        <f>AND(#REF!,"AAAAAH1r16o=")</f>
        <v>#REF!</v>
      </c>
      <c r="FP2" t="e">
        <f>AND(#REF!,"AAAAAH1r16s=")</f>
        <v>#REF!</v>
      </c>
      <c r="FQ2" t="e">
        <f>AND(#REF!,"AAAAAH1r16w=")</f>
        <v>#REF!</v>
      </c>
      <c r="FR2" t="e">
        <f>AND(#REF!,"AAAAAH1r160=")</f>
        <v>#REF!</v>
      </c>
      <c r="FS2" t="e">
        <f>AND(#REF!,"AAAAAH1r164=")</f>
        <v>#REF!</v>
      </c>
      <c r="FT2" t="e">
        <f>AND(#REF!,"AAAAAH1r168=")</f>
        <v>#REF!</v>
      </c>
      <c r="FU2" t="e">
        <f>IF(#REF!,"AAAAAH1r17A=",0)</f>
        <v>#REF!</v>
      </c>
      <c r="FV2" t="e">
        <f>AND(#REF!,"AAAAAH1r17E=")</f>
        <v>#REF!</v>
      </c>
      <c r="FW2" t="e">
        <f>AND(#REF!,"AAAAAH1r17I=")</f>
        <v>#REF!</v>
      </c>
      <c r="FX2" t="e">
        <f>AND(#REF!,"AAAAAH1r17M=")</f>
        <v>#REF!</v>
      </c>
      <c r="FY2" t="e">
        <f>AND(#REF!,"AAAAAH1r17Q=")</f>
        <v>#REF!</v>
      </c>
      <c r="FZ2" t="e">
        <f>AND(#REF!,"AAAAAH1r17U=")</f>
        <v>#REF!</v>
      </c>
      <c r="GA2" t="e">
        <f>AND(#REF!,"AAAAAH1r17Y=")</f>
        <v>#REF!</v>
      </c>
      <c r="GB2" t="e">
        <f>AND(#REF!,"AAAAAH1r17c=")</f>
        <v>#REF!</v>
      </c>
      <c r="GC2" t="e">
        <f>IF(#REF!,"AAAAAH1r17g=",0)</f>
        <v>#REF!</v>
      </c>
      <c r="GD2" t="e">
        <f>AND(#REF!,"AAAAAH1r17k=")</f>
        <v>#REF!</v>
      </c>
      <c r="GE2" t="e">
        <f>AND(#REF!,"AAAAAH1r17o=")</f>
        <v>#REF!</v>
      </c>
      <c r="GF2" t="e">
        <f>AND(#REF!,"AAAAAH1r17s=")</f>
        <v>#REF!</v>
      </c>
      <c r="GG2" t="e">
        <f>AND(#REF!,"AAAAAH1r17w=")</f>
        <v>#REF!</v>
      </c>
      <c r="GH2" t="e">
        <f>AND(#REF!,"AAAAAH1r170=")</f>
        <v>#REF!</v>
      </c>
      <c r="GI2" t="e">
        <f>AND(#REF!,"AAAAAH1r174=")</f>
        <v>#REF!</v>
      </c>
      <c r="GJ2" t="e">
        <f>AND(#REF!,"AAAAAH1r178=")</f>
        <v>#REF!</v>
      </c>
      <c r="GK2" t="e">
        <f>IF(#REF!,"AAAAAH1r18A=",0)</f>
        <v>#REF!</v>
      </c>
      <c r="GL2" t="e">
        <f>AND(#REF!,"AAAAAH1r18E=")</f>
        <v>#REF!</v>
      </c>
      <c r="GM2" t="e">
        <f>AND(#REF!,"AAAAAH1r18I=")</f>
        <v>#REF!</v>
      </c>
      <c r="GN2" t="e">
        <f>AND(#REF!,"AAAAAH1r18M=")</f>
        <v>#REF!</v>
      </c>
      <c r="GO2" t="e">
        <f>AND(#REF!,"AAAAAH1r18Q=")</f>
        <v>#REF!</v>
      </c>
      <c r="GP2" t="e">
        <f>AND(#REF!,"AAAAAH1r18U=")</f>
        <v>#REF!</v>
      </c>
      <c r="GQ2" t="e">
        <f>AND(#REF!,"AAAAAH1r18Y=")</f>
        <v>#REF!</v>
      </c>
      <c r="GR2" t="e">
        <f>AND(#REF!,"AAAAAH1r18c=")</f>
        <v>#REF!</v>
      </c>
      <c r="GS2" t="e">
        <f>IF(#REF!,"AAAAAH1r18g=",0)</f>
        <v>#REF!</v>
      </c>
      <c r="GT2" t="e">
        <f>AND(#REF!,"AAAAAH1r18k=")</f>
        <v>#REF!</v>
      </c>
      <c r="GU2" t="e">
        <f>AND(#REF!,"AAAAAH1r18o=")</f>
        <v>#REF!</v>
      </c>
      <c r="GV2" t="e">
        <f>AND(#REF!,"AAAAAH1r18s=")</f>
        <v>#REF!</v>
      </c>
      <c r="GW2" t="e">
        <f>AND(#REF!,"AAAAAH1r18w=")</f>
        <v>#REF!</v>
      </c>
      <c r="GX2" t="e">
        <f>AND(#REF!,"AAAAAH1r180=")</f>
        <v>#REF!</v>
      </c>
      <c r="GY2" t="e">
        <f>AND(#REF!,"AAAAAH1r184=")</f>
        <v>#REF!</v>
      </c>
      <c r="GZ2" t="e">
        <f>AND(#REF!,"AAAAAH1r188=")</f>
        <v>#REF!</v>
      </c>
      <c r="HA2" t="e">
        <f>IF(#REF!,"AAAAAH1r19A=",0)</f>
        <v>#REF!</v>
      </c>
      <c r="HB2" t="e">
        <f>AND(#REF!,"AAAAAH1r19E=")</f>
        <v>#REF!</v>
      </c>
      <c r="HC2" t="e">
        <f>AND(#REF!,"AAAAAH1r19I=")</f>
        <v>#REF!</v>
      </c>
      <c r="HD2" t="e">
        <f>AND(#REF!,"AAAAAH1r19M=")</f>
        <v>#REF!</v>
      </c>
      <c r="HE2" t="e">
        <f>AND(#REF!,"AAAAAH1r19Q=")</f>
        <v>#REF!</v>
      </c>
      <c r="HF2" t="e">
        <f>AND(#REF!,"AAAAAH1r19U=")</f>
        <v>#REF!</v>
      </c>
      <c r="HG2" t="e">
        <f>AND(#REF!,"AAAAAH1r19Y=")</f>
        <v>#REF!</v>
      </c>
      <c r="HH2" t="e">
        <f>AND(#REF!,"AAAAAH1r19c=")</f>
        <v>#REF!</v>
      </c>
      <c r="HI2" t="e">
        <f>IF(#REF!,"AAAAAH1r19g=",0)</f>
        <v>#REF!</v>
      </c>
      <c r="HJ2" t="e">
        <f>AND(#REF!,"AAAAAH1r19k=")</f>
        <v>#REF!</v>
      </c>
      <c r="HK2" t="e">
        <f>AND(#REF!,"AAAAAH1r19o=")</f>
        <v>#REF!</v>
      </c>
      <c r="HL2" t="e">
        <f>AND(#REF!,"AAAAAH1r19s=")</f>
        <v>#REF!</v>
      </c>
      <c r="HM2" t="e">
        <f>AND(#REF!,"AAAAAH1r19w=")</f>
        <v>#REF!</v>
      </c>
      <c r="HN2" t="e">
        <f>AND(#REF!,"AAAAAH1r190=")</f>
        <v>#REF!</v>
      </c>
      <c r="HO2" t="e">
        <f>AND(#REF!,"AAAAAH1r194=")</f>
        <v>#REF!</v>
      </c>
      <c r="HP2" t="e">
        <f>AND(#REF!,"AAAAAH1r198=")</f>
        <v>#REF!</v>
      </c>
      <c r="HQ2" t="e">
        <f>IF(#REF!,"AAAAAH1r1+A=",0)</f>
        <v>#REF!</v>
      </c>
      <c r="HR2" t="e">
        <f>AND(#REF!,"AAAAAH1r1+E=")</f>
        <v>#REF!</v>
      </c>
      <c r="HS2" t="e">
        <f>AND(#REF!,"AAAAAH1r1+I=")</f>
        <v>#REF!</v>
      </c>
      <c r="HT2" t="e">
        <f>AND(#REF!,"AAAAAH1r1+M=")</f>
        <v>#REF!</v>
      </c>
      <c r="HU2" t="e">
        <f>AND(#REF!,"AAAAAH1r1+Q=")</f>
        <v>#REF!</v>
      </c>
      <c r="HV2" t="e">
        <f>AND(#REF!,"AAAAAH1r1+U=")</f>
        <v>#REF!</v>
      </c>
      <c r="HW2" t="e">
        <f>AND(#REF!,"AAAAAH1r1+Y=")</f>
        <v>#REF!</v>
      </c>
      <c r="HX2" t="e">
        <f>AND(#REF!,"AAAAAH1r1+c=")</f>
        <v>#REF!</v>
      </c>
      <c r="HY2" t="e">
        <f>IF(#REF!,"AAAAAH1r1+g=",0)</f>
        <v>#REF!</v>
      </c>
      <c r="HZ2" t="e">
        <f>AND(#REF!,"AAAAAH1r1+k=")</f>
        <v>#REF!</v>
      </c>
      <c r="IA2" t="e">
        <f>AND(#REF!,"AAAAAH1r1+o=")</f>
        <v>#REF!</v>
      </c>
      <c r="IB2" t="e">
        <f>AND(#REF!,"AAAAAH1r1+s=")</f>
        <v>#REF!</v>
      </c>
      <c r="IC2" t="e">
        <f>AND(#REF!,"AAAAAH1r1+w=")</f>
        <v>#REF!</v>
      </c>
      <c r="ID2" t="e">
        <f>AND(#REF!,"AAAAAH1r1+0=")</f>
        <v>#REF!</v>
      </c>
      <c r="IE2" t="e">
        <f>AND(#REF!,"AAAAAH1r1+4=")</f>
        <v>#REF!</v>
      </c>
      <c r="IF2" t="e">
        <f>AND(#REF!,"AAAAAH1r1+8=")</f>
        <v>#REF!</v>
      </c>
      <c r="IG2" t="e">
        <f>IF(#REF!,"AAAAAH1r1/A=",0)</f>
        <v>#REF!</v>
      </c>
      <c r="IH2" t="e">
        <f>AND(#REF!,"AAAAAH1r1/E=")</f>
        <v>#REF!</v>
      </c>
      <c r="II2" t="e">
        <f>AND(#REF!,"AAAAAH1r1/I=")</f>
        <v>#REF!</v>
      </c>
      <c r="IJ2" t="e">
        <f>AND(#REF!,"AAAAAH1r1/M=")</f>
        <v>#REF!</v>
      </c>
      <c r="IK2" t="e">
        <f>AND(#REF!,"AAAAAH1r1/Q=")</f>
        <v>#REF!</v>
      </c>
      <c r="IL2" t="e">
        <f>AND(#REF!,"AAAAAH1r1/U=")</f>
        <v>#REF!</v>
      </c>
      <c r="IM2" t="e">
        <f>AND(#REF!,"AAAAAH1r1/Y=")</f>
        <v>#REF!</v>
      </c>
      <c r="IN2" t="e">
        <f>AND(#REF!,"AAAAAH1r1/c=")</f>
        <v>#REF!</v>
      </c>
      <c r="IO2" t="e">
        <f>IF(#REF!,"AAAAAH1r1/g=",0)</f>
        <v>#REF!</v>
      </c>
      <c r="IP2" t="e">
        <f>AND(#REF!,"AAAAAH1r1/k=")</f>
        <v>#REF!</v>
      </c>
      <c r="IQ2" t="e">
        <f>AND(#REF!,"AAAAAH1r1/o=")</f>
        <v>#REF!</v>
      </c>
      <c r="IR2" t="e">
        <f>AND(#REF!,"AAAAAH1r1/s=")</f>
        <v>#REF!</v>
      </c>
      <c r="IS2" t="e">
        <f>AND(#REF!,"AAAAAH1r1/w=")</f>
        <v>#REF!</v>
      </c>
      <c r="IT2" t="e">
        <f>AND(#REF!,"AAAAAH1r1/0=")</f>
        <v>#REF!</v>
      </c>
      <c r="IU2" t="e">
        <f>AND(#REF!,"AAAAAH1r1/4=")</f>
        <v>#REF!</v>
      </c>
      <c r="IV2" t="e">
        <f>AND(#REF!,"AAAAAH1r1/8=")</f>
        <v>#REF!</v>
      </c>
    </row>
    <row r="3" spans="1:256" ht="15">
      <c r="A3" t="e">
        <f>IF(#REF!,"AAAAAE3/9gA=",0)</f>
        <v>#REF!</v>
      </c>
      <c r="B3" t="e">
        <f>AND(#REF!,"AAAAAE3/9gE=")</f>
        <v>#REF!</v>
      </c>
      <c r="C3" t="e">
        <f>AND(#REF!,"AAAAAE3/9gI=")</f>
        <v>#REF!</v>
      </c>
      <c r="D3" t="e">
        <f>AND(#REF!,"AAAAAE3/9gM=")</f>
        <v>#REF!</v>
      </c>
      <c r="E3" t="e">
        <f>AND(#REF!,"AAAAAE3/9gQ=")</f>
        <v>#REF!</v>
      </c>
      <c r="F3" t="e">
        <f>AND(#REF!,"AAAAAE3/9gU=")</f>
        <v>#REF!</v>
      </c>
      <c r="G3" t="e">
        <f>AND(#REF!,"AAAAAE3/9gY=")</f>
        <v>#REF!</v>
      </c>
      <c r="H3" t="e">
        <f>AND(#REF!,"AAAAAE3/9gc=")</f>
        <v>#REF!</v>
      </c>
      <c r="I3" t="e">
        <f>IF(#REF!,"AAAAAE3/9gg=",0)</f>
        <v>#REF!</v>
      </c>
      <c r="J3" t="e">
        <f>AND(#REF!,"AAAAAE3/9gk=")</f>
        <v>#REF!</v>
      </c>
      <c r="K3" t="e">
        <f>AND(#REF!,"AAAAAE3/9go=")</f>
        <v>#REF!</v>
      </c>
      <c r="L3" t="e">
        <f>AND(#REF!,"AAAAAE3/9gs=")</f>
        <v>#REF!</v>
      </c>
      <c r="M3" t="e">
        <f>AND(#REF!,"AAAAAE3/9gw=")</f>
        <v>#REF!</v>
      </c>
      <c r="N3" t="e">
        <f>AND(#REF!,"AAAAAE3/9g0=")</f>
        <v>#REF!</v>
      </c>
      <c r="O3" t="e">
        <f>AND(#REF!,"AAAAAE3/9g4=")</f>
        <v>#REF!</v>
      </c>
      <c r="P3" t="e">
        <f>AND(#REF!,"AAAAAE3/9g8=")</f>
        <v>#REF!</v>
      </c>
      <c r="Q3" t="e">
        <f>IF(#REF!,"AAAAAE3/9hA=",0)</f>
        <v>#REF!</v>
      </c>
      <c r="R3" t="e">
        <f>AND(#REF!,"AAAAAE3/9hE=")</f>
        <v>#REF!</v>
      </c>
      <c r="S3" t="e">
        <f>AND(#REF!,"AAAAAE3/9hI=")</f>
        <v>#REF!</v>
      </c>
      <c r="T3" t="e">
        <f>AND(#REF!,"AAAAAE3/9hM=")</f>
        <v>#REF!</v>
      </c>
      <c r="U3" t="e">
        <f>AND(#REF!,"AAAAAE3/9hQ=")</f>
        <v>#REF!</v>
      </c>
      <c r="V3" t="e">
        <f>AND(#REF!,"AAAAAE3/9hU=")</f>
        <v>#REF!</v>
      </c>
      <c r="W3" t="e">
        <f>AND(#REF!,"AAAAAE3/9hY=")</f>
        <v>#REF!</v>
      </c>
      <c r="X3" t="e">
        <f>AND(#REF!,"AAAAAE3/9hc=")</f>
        <v>#REF!</v>
      </c>
      <c r="Y3" t="e">
        <f>IF(#REF!,"AAAAAE3/9hg=",0)</f>
        <v>#REF!</v>
      </c>
      <c r="Z3" t="e">
        <f>AND(#REF!,"AAAAAE3/9hk=")</f>
        <v>#REF!</v>
      </c>
      <c r="AA3" t="e">
        <f>AND(#REF!,"AAAAAE3/9ho=")</f>
        <v>#REF!</v>
      </c>
      <c r="AB3" t="e">
        <f>AND(#REF!,"AAAAAE3/9hs=")</f>
        <v>#REF!</v>
      </c>
      <c r="AC3" t="e">
        <f>AND(#REF!,"AAAAAE3/9hw=")</f>
        <v>#REF!</v>
      </c>
      <c r="AD3" t="e">
        <f>AND(#REF!,"AAAAAE3/9h0=")</f>
        <v>#REF!</v>
      </c>
      <c r="AE3" t="e">
        <f>AND(#REF!,"AAAAAE3/9h4=")</f>
        <v>#REF!</v>
      </c>
      <c r="AF3" t="e">
        <f>AND(#REF!,"AAAAAE3/9h8=")</f>
        <v>#REF!</v>
      </c>
      <c r="AG3" t="e">
        <f>IF(#REF!,"AAAAAE3/9iA=",0)</f>
        <v>#REF!</v>
      </c>
      <c r="AH3" t="e">
        <f>AND(#REF!,"AAAAAE3/9iE=")</f>
        <v>#REF!</v>
      </c>
      <c r="AI3" t="e">
        <f>AND(#REF!,"AAAAAE3/9iI=")</f>
        <v>#REF!</v>
      </c>
      <c r="AJ3" t="e">
        <f>AND(#REF!,"AAAAAE3/9iM=")</f>
        <v>#REF!</v>
      </c>
      <c r="AK3" t="e">
        <f>AND(#REF!,"AAAAAE3/9iQ=")</f>
        <v>#REF!</v>
      </c>
      <c r="AL3" t="e">
        <f>AND(#REF!,"AAAAAE3/9iU=")</f>
        <v>#REF!</v>
      </c>
      <c r="AM3" t="e">
        <f>AND(#REF!,"AAAAAE3/9iY=")</f>
        <v>#REF!</v>
      </c>
      <c r="AN3" t="e">
        <f>AND(#REF!,"AAAAAE3/9ic=")</f>
        <v>#REF!</v>
      </c>
      <c r="AO3" t="e">
        <f>IF(#REF!,"AAAAAE3/9ig=",0)</f>
        <v>#REF!</v>
      </c>
      <c r="AP3" t="e">
        <f>AND(#REF!,"AAAAAE3/9ik=")</f>
        <v>#REF!</v>
      </c>
      <c r="AQ3" t="e">
        <f>AND(#REF!,"AAAAAE3/9io=")</f>
        <v>#REF!</v>
      </c>
      <c r="AR3" t="e">
        <f>AND(#REF!,"AAAAAE3/9is=")</f>
        <v>#REF!</v>
      </c>
      <c r="AS3" t="e">
        <f>AND(#REF!,"AAAAAE3/9iw=")</f>
        <v>#REF!</v>
      </c>
      <c r="AT3" t="e">
        <f>AND(#REF!,"AAAAAE3/9i0=")</f>
        <v>#REF!</v>
      </c>
      <c r="AU3" t="e">
        <f>AND(#REF!,"AAAAAE3/9i4=")</f>
        <v>#REF!</v>
      </c>
      <c r="AV3" t="e">
        <f>AND(#REF!,"AAAAAE3/9i8=")</f>
        <v>#REF!</v>
      </c>
      <c r="AW3" t="e">
        <f>IF(#REF!,"AAAAAE3/9jA=",0)</f>
        <v>#REF!</v>
      </c>
      <c r="AX3" t="e">
        <f>AND(#REF!,"AAAAAE3/9jE=")</f>
        <v>#REF!</v>
      </c>
      <c r="AY3" t="e">
        <f>AND(#REF!,"AAAAAE3/9jI=")</f>
        <v>#REF!</v>
      </c>
      <c r="AZ3" t="e">
        <f>AND(#REF!,"AAAAAE3/9jM=")</f>
        <v>#REF!</v>
      </c>
      <c r="BA3" t="e">
        <f>AND(#REF!,"AAAAAE3/9jQ=")</f>
        <v>#REF!</v>
      </c>
      <c r="BB3" t="e">
        <f>AND(#REF!,"AAAAAE3/9jU=")</f>
        <v>#REF!</v>
      </c>
      <c r="BC3" t="e">
        <f>AND(#REF!,"AAAAAE3/9jY=")</f>
        <v>#REF!</v>
      </c>
      <c r="BD3" t="e">
        <f>AND(#REF!,"AAAAAE3/9jc=")</f>
        <v>#REF!</v>
      </c>
      <c r="BE3" t="e">
        <f>IF(#REF!,"AAAAAE3/9jg=",0)</f>
        <v>#REF!</v>
      </c>
      <c r="BF3" t="e">
        <f>AND(#REF!,"AAAAAE3/9jk=")</f>
        <v>#REF!</v>
      </c>
      <c r="BG3" t="e">
        <f>AND(#REF!,"AAAAAE3/9jo=")</f>
        <v>#REF!</v>
      </c>
      <c r="BH3" t="e">
        <f>AND(#REF!,"AAAAAE3/9js=")</f>
        <v>#REF!</v>
      </c>
      <c r="BI3" t="e">
        <f>AND(#REF!,"AAAAAE3/9jw=")</f>
        <v>#REF!</v>
      </c>
      <c r="BJ3" t="e">
        <f>AND(#REF!,"AAAAAE3/9j0=")</f>
        <v>#REF!</v>
      </c>
      <c r="BK3" t="e">
        <f>AND(#REF!,"AAAAAE3/9j4=")</f>
        <v>#REF!</v>
      </c>
      <c r="BL3" t="e">
        <f>AND(#REF!,"AAAAAE3/9j8=")</f>
        <v>#REF!</v>
      </c>
      <c r="BM3" t="e">
        <f>IF(#REF!,"AAAAAE3/9kA=",0)</f>
        <v>#REF!</v>
      </c>
      <c r="BN3" t="e">
        <f>AND(#REF!,"AAAAAE3/9kE=")</f>
        <v>#REF!</v>
      </c>
      <c r="BO3" t="e">
        <f>AND(#REF!,"AAAAAE3/9kI=")</f>
        <v>#REF!</v>
      </c>
      <c r="BP3" t="e">
        <f>AND(#REF!,"AAAAAE3/9kM=")</f>
        <v>#REF!</v>
      </c>
      <c r="BQ3" t="e">
        <f>AND(#REF!,"AAAAAE3/9kQ=")</f>
        <v>#REF!</v>
      </c>
      <c r="BR3" t="e">
        <f>AND(#REF!,"AAAAAE3/9kU=")</f>
        <v>#REF!</v>
      </c>
      <c r="BS3" t="e">
        <f>AND(#REF!,"AAAAAE3/9kY=")</f>
        <v>#REF!</v>
      </c>
      <c r="BT3" t="e">
        <f>AND(#REF!,"AAAAAE3/9kc=")</f>
        <v>#REF!</v>
      </c>
      <c r="BU3" t="e">
        <f>IF(#REF!,"AAAAAE3/9kg=",0)</f>
        <v>#REF!</v>
      </c>
      <c r="BV3" t="e">
        <f>AND(#REF!,"AAAAAE3/9kk=")</f>
        <v>#REF!</v>
      </c>
      <c r="BW3" t="e">
        <f>AND(#REF!,"AAAAAE3/9ko=")</f>
        <v>#REF!</v>
      </c>
      <c r="BX3" t="e">
        <f>AND(#REF!,"AAAAAE3/9ks=")</f>
        <v>#REF!</v>
      </c>
      <c r="BY3" t="e">
        <f>AND(#REF!,"AAAAAE3/9kw=")</f>
        <v>#REF!</v>
      </c>
      <c r="BZ3" t="e">
        <f>AND(#REF!,"AAAAAE3/9k0=")</f>
        <v>#REF!</v>
      </c>
      <c r="CA3" t="e">
        <f>AND(#REF!,"AAAAAE3/9k4=")</f>
        <v>#REF!</v>
      </c>
      <c r="CB3" t="e">
        <f>AND(#REF!,"AAAAAE3/9k8=")</f>
        <v>#REF!</v>
      </c>
      <c r="CC3" t="e">
        <f>IF(#REF!,"AAAAAE3/9lA=",0)</f>
        <v>#REF!</v>
      </c>
      <c r="CD3" t="e">
        <f>AND(#REF!,"AAAAAE3/9lE=")</f>
        <v>#REF!</v>
      </c>
      <c r="CE3" t="e">
        <f>AND(#REF!,"AAAAAE3/9lI=")</f>
        <v>#REF!</v>
      </c>
      <c r="CF3" t="e">
        <f>AND(#REF!,"AAAAAE3/9lM=")</f>
        <v>#REF!</v>
      </c>
      <c r="CG3" t="e">
        <f>AND(#REF!,"AAAAAE3/9lQ=")</f>
        <v>#REF!</v>
      </c>
      <c r="CH3" t="e">
        <f>AND(#REF!,"AAAAAE3/9lU=")</f>
        <v>#REF!</v>
      </c>
      <c r="CI3" t="e">
        <f>AND(#REF!,"AAAAAE3/9lY=")</f>
        <v>#REF!</v>
      </c>
      <c r="CJ3" t="e">
        <f>AND(#REF!,"AAAAAE3/9lc=")</f>
        <v>#REF!</v>
      </c>
      <c r="CK3" t="e">
        <f>IF(#REF!,"AAAAAE3/9lg=",0)</f>
        <v>#REF!</v>
      </c>
      <c r="CL3" t="e">
        <f>AND(#REF!,"AAAAAE3/9lk=")</f>
        <v>#REF!</v>
      </c>
      <c r="CM3" t="e">
        <f>AND(#REF!,"AAAAAE3/9lo=")</f>
        <v>#REF!</v>
      </c>
      <c r="CN3" t="e">
        <f>AND(#REF!,"AAAAAE3/9ls=")</f>
        <v>#REF!</v>
      </c>
      <c r="CO3" t="e">
        <f>AND(#REF!,"AAAAAE3/9lw=")</f>
        <v>#REF!</v>
      </c>
      <c r="CP3" t="e">
        <f>AND(#REF!,"AAAAAE3/9l0=")</f>
        <v>#REF!</v>
      </c>
      <c r="CQ3" t="e">
        <f>AND(#REF!,"AAAAAE3/9l4=")</f>
        <v>#REF!</v>
      </c>
      <c r="CR3" t="e">
        <f>AND(#REF!,"AAAAAE3/9l8=")</f>
        <v>#REF!</v>
      </c>
      <c r="CS3" t="e">
        <f>IF(#REF!,"AAAAAE3/9mA=",0)</f>
        <v>#REF!</v>
      </c>
      <c r="CT3" t="e">
        <f>AND(#REF!,"AAAAAE3/9mE=")</f>
        <v>#REF!</v>
      </c>
      <c r="CU3" t="e">
        <f>AND(#REF!,"AAAAAE3/9mI=")</f>
        <v>#REF!</v>
      </c>
      <c r="CV3" t="e">
        <f>AND(#REF!,"AAAAAE3/9mM=")</f>
        <v>#REF!</v>
      </c>
      <c r="CW3" t="e">
        <f>AND(#REF!,"AAAAAE3/9mQ=")</f>
        <v>#REF!</v>
      </c>
      <c r="CX3" t="e">
        <f>AND(#REF!,"AAAAAE3/9mU=")</f>
        <v>#REF!</v>
      </c>
      <c r="CY3" t="e">
        <f>AND(#REF!,"AAAAAE3/9mY=")</f>
        <v>#REF!</v>
      </c>
      <c r="CZ3" t="e">
        <f>AND(#REF!,"AAAAAE3/9mc=")</f>
        <v>#REF!</v>
      </c>
      <c r="DA3" t="e">
        <f>IF(#REF!,"AAAAAE3/9mg=",0)</f>
        <v>#REF!</v>
      </c>
      <c r="DB3" t="e">
        <f>AND(#REF!,"AAAAAE3/9mk=")</f>
        <v>#REF!</v>
      </c>
      <c r="DC3" t="e">
        <f>AND(#REF!,"AAAAAE3/9mo=")</f>
        <v>#REF!</v>
      </c>
      <c r="DD3" t="e">
        <f>AND(#REF!,"AAAAAE3/9ms=")</f>
        <v>#REF!</v>
      </c>
      <c r="DE3" t="e">
        <f>AND(#REF!,"AAAAAE3/9mw=")</f>
        <v>#REF!</v>
      </c>
      <c r="DF3" t="e">
        <f>AND(#REF!,"AAAAAE3/9m0=")</f>
        <v>#REF!</v>
      </c>
      <c r="DG3" t="e">
        <f>AND(#REF!,"AAAAAE3/9m4=")</f>
        <v>#REF!</v>
      </c>
      <c r="DH3" t="e">
        <f>AND(#REF!,"AAAAAE3/9m8=")</f>
        <v>#REF!</v>
      </c>
      <c r="DI3" t="e">
        <f>IF(#REF!,"AAAAAE3/9nA=",0)</f>
        <v>#REF!</v>
      </c>
      <c r="DJ3" t="e">
        <f>AND(#REF!,"AAAAAE3/9nE=")</f>
        <v>#REF!</v>
      </c>
      <c r="DK3" t="e">
        <f>AND(#REF!,"AAAAAE3/9nI=")</f>
        <v>#REF!</v>
      </c>
      <c r="DL3" t="e">
        <f>AND(#REF!,"AAAAAE3/9nM=")</f>
        <v>#REF!</v>
      </c>
      <c r="DM3" t="e">
        <f>AND(#REF!,"AAAAAE3/9nQ=")</f>
        <v>#REF!</v>
      </c>
      <c r="DN3" t="e">
        <f>AND(#REF!,"AAAAAE3/9nU=")</f>
        <v>#REF!</v>
      </c>
      <c r="DO3" t="e">
        <f>AND(#REF!,"AAAAAE3/9nY=")</f>
        <v>#REF!</v>
      </c>
      <c r="DP3" t="e">
        <f>AND(#REF!,"AAAAAE3/9nc=")</f>
        <v>#REF!</v>
      </c>
      <c r="DQ3" t="e">
        <f>IF(#REF!,"AAAAAE3/9ng=",0)</f>
        <v>#REF!</v>
      </c>
      <c r="DR3" t="e">
        <f>AND(#REF!,"AAAAAE3/9nk=")</f>
        <v>#REF!</v>
      </c>
      <c r="DS3" t="e">
        <f>AND(#REF!,"AAAAAE3/9no=")</f>
        <v>#REF!</v>
      </c>
      <c r="DT3" t="e">
        <f>AND(#REF!,"AAAAAE3/9ns=")</f>
        <v>#REF!</v>
      </c>
      <c r="DU3" t="e">
        <f>AND(#REF!,"AAAAAE3/9nw=")</f>
        <v>#REF!</v>
      </c>
      <c r="DV3" t="e">
        <f>AND(#REF!,"AAAAAE3/9n0=")</f>
        <v>#REF!</v>
      </c>
      <c r="DW3" t="e">
        <f>AND(#REF!,"AAAAAE3/9n4=")</f>
        <v>#REF!</v>
      </c>
      <c r="DX3" t="e">
        <f>AND(#REF!,"AAAAAE3/9n8=")</f>
        <v>#REF!</v>
      </c>
      <c r="DY3" t="e">
        <f>IF(#REF!,"AAAAAE3/9oA=",0)</f>
        <v>#REF!</v>
      </c>
      <c r="DZ3" t="e">
        <f>AND(#REF!,"AAAAAE3/9oE=")</f>
        <v>#REF!</v>
      </c>
      <c r="EA3" t="e">
        <f>AND(#REF!,"AAAAAE3/9oI=")</f>
        <v>#REF!</v>
      </c>
      <c r="EB3" t="e">
        <f>AND(#REF!,"AAAAAE3/9oM=")</f>
        <v>#REF!</v>
      </c>
      <c r="EC3" t="e">
        <f>AND(#REF!,"AAAAAE3/9oQ=")</f>
        <v>#REF!</v>
      </c>
      <c r="ED3" t="e">
        <f>AND(#REF!,"AAAAAE3/9oU=")</f>
        <v>#REF!</v>
      </c>
      <c r="EE3" t="e">
        <f>AND(#REF!,"AAAAAE3/9oY=")</f>
        <v>#REF!</v>
      </c>
      <c r="EF3" t="e">
        <f>AND(#REF!,"AAAAAE3/9oc=")</f>
        <v>#REF!</v>
      </c>
      <c r="EG3" t="e">
        <f>IF(#REF!,"AAAAAE3/9og=",0)</f>
        <v>#REF!</v>
      </c>
      <c r="EH3" t="e">
        <f>AND(#REF!,"AAAAAE3/9ok=")</f>
        <v>#REF!</v>
      </c>
      <c r="EI3" t="e">
        <f>AND(#REF!,"AAAAAE3/9oo=")</f>
        <v>#REF!</v>
      </c>
      <c r="EJ3" t="e">
        <f>AND(#REF!,"AAAAAE3/9os=")</f>
        <v>#REF!</v>
      </c>
      <c r="EK3" t="e">
        <f>AND(#REF!,"AAAAAE3/9ow=")</f>
        <v>#REF!</v>
      </c>
      <c r="EL3" t="e">
        <f>AND(#REF!,"AAAAAE3/9o0=")</f>
        <v>#REF!</v>
      </c>
      <c r="EM3" t="e">
        <f>AND(#REF!,"AAAAAE3/9o4=")</f>
        <v>#REF!</v>
      </c>
      <c r="EN3" t="e">
        <f>AND(#REF!,"AAAAAE3/9o8=")</f>
        <v>#REF!</v>
      </c>
      <c r="EO3" t="e">
        <f>IF(#REF!,"AAAAAE3/9pA=",0)</f>
        <v>#REF!</v>
      </c>
      <c r="EP3" t="e">
        <f>AND(#REF!,"AAAAAE3/9pE=")</f>
        <v>#REF!</v>
      </c>
      <c r="EQ3" t="e">
        <f>AND(#REF!,"AAAAAE3/9pI=")</f>
        <v>#REF!</v>
      </c>
      <c r="ER3" t="e">
        <f>AND(#REF!,"AAAAAE3/9pM=")</f>
        <v>#REF!</v>
      </c>
      <c r="ES3" t="e">
        <f>AND(#REF!,"AAAAAE3/9pQ=")</f>
        <v>#REF!</v>
      </c>
      <c r="ET3" t="e">
        <f>AND(#REF!,"AAAAAE3/9pU=")</f>
        <v>#REF!</v>
      </c>
      <c r="EU3" t="e">
        <f>AND(#REF!,"AAAAAE3/9pY=")</f>
        <v>#REF!</v>
      </c>
      <c r="EV3" t="e">
        <f>AND(#REF!,"AAAAAE3/9pc=")</f>
        <v>#REF!</v>
      </c>
      <c r="EW3" t="e">
        <f>IF(#REF!,"AAAAAE3/9pg=",0)</f>
        <v>#REF!</v>
      </c>
      <c r="EX3" t="e">
        <f>AND(#REF!,"AAAAAE3/9pk=")</f>
        <v>#REF!</v>
      </c>
      <c r="EY3" t="e">
        <f>AND(#REF!,"AAAAAE3/9po=")</f>
        <v>#REF!</v>
      </c>
      <c r="EZ3" t="e">
        <f>AND(#REF!,"AAAAAE3/9ps=")</f>
        <v>#REF!</v>
      </c>
      <c r="FA3" t="e">
        <f>AND(#REF!,"AAAAAE3/9pw=")</f>
        <v>#REF!</v>
      </c>
      <c r="FB3" t="e">
        <f>AND(#REF!,"AAAAAE3/9p0=")</f>
        <v>#REF!</v>
      </c>
      <c r="FC3" t="e">
        <f>AND(#REF!,"AAAAAE3/9p4=")</f>
        <v>#REF!</v>
      </c>
      <c r="FD3" t="e">
        <f>AND(#REF!,"AAAAAE3/9p8=")</f>
        <v>#REF!</v>
      </c>
      <c r="FE3" t="e">
        <f>IF(#REF!,"AAAAAE3/9qA=",0)</f>
        <v>#REF!</v>
      </c>
      <c r="FF3" t="e">
        <f>AND(#REF!,"AAAAAE3/9qE=")</f>
        <v>#REF!</v>
      </c>
      <c r="FG3" t="e">
        <f>AND(#REF!,"AAAAAE3/9qI=")</f>
        <v>#REF!</v>
      </c>
      <c r="FH3" t="e">
        <f>AND(#REF!,"AAAAAE3/9qM=")</f>
        <v>#REF!</v>
      </c>
      <c r="FI3" t="e">
        <f>AND(#REF!,"AAAAAE3/9qQ=")</f>
        <v>#REF!</v>
      </c>
      <c r="FJ3" t="e">
        <f>AND(#REF!,"AAAAAE3/9qU=")</f>
        <v>#REF!</v>
      </c>
      <c r="FK3" t="e">
        <f>AND(#REF!,"AAAAAE3/9qY=")</f>
        <v>#REF!</v>
      </c>
      <c r="FL3" t="e">
        <f>AND(#REF!,"AAAAAE3/9qc=")</f>
        <v>#REF!</v>
      </c>
      <c r="FM3" t="e">
        <f>IF(#REF!,"AAAAAE3/9qg=",0)</f>
        <v>#REF!</v>
      </c>
      <c r="FN3" t="e">
        <f>AND(#REF!,"AAAAAE3/9qk=")</f>
        <v>#REF!</v>
      </c>
      <c r="FO3" t="e">
        <f>AND(#REF!,"AAAAAE3/9qo=")</f>
        <v>#REF!</v>
      </c>
      <c r="FP3" t="e">
        <f>AND(#REF!,"AAAAAE3/9qs=")</f>
        <v>#REF!</v>
      </c>
      <c r="FQ3" t="e">
        <f>AND(#REF!,"AAAAAE3/9qw=")</f>
        <v>#REF!</v>
      </c>
      <c r="FR3" t="e">
        <f>AND(#REF!,"AAAAAE3/9q0=")</f>
        <v>#REF!</v>
      </c>
      <c r="FS3" t="e">
        <f>AND(#REF!,"AAAAAE3/9q4=")</f>
        <v>#REF!</v>
      </c>
      <c r="FT3" t="e">
        <f>AND(#REF!,"AAAAAE3/9q8=")</f>
        <v>#REF!</v>
      </c>
      <c r="FU3" t="e">
        <f>IF(#REF!,"AAAAAE3/9rA=",0)</f>
        <v>#REF!</v>
      </c>
      <c r="FV3" t="e">
        <f>AND(#REF!,"AAAAAE3/9rE=")</f>
        <v>#REF!</v>
      </c>
      <c r="FW3" t="e">
        <f>AND(#REF!,"AAAAAE3/9rI=")</f>
        <v>#REF!</v>
      </c>
      <c r="FX3" t="e">
        <f>AND(#REF!,"AAAAAE3/9rM=")</f>
        <v>#REF!</v>
      </c>
      <c r="FY3" t="e">
        <f>AND(#REF!,"AAAAAE3/9rQ=")</f>
        <v>#REF!</v>
      </c>
      <c r="FZ3" t="e">
        <f>AND(#REF!,"AAAAAE3/9rU=")</f>
        <v>#REF!</v>
      </c>
      <c r="GA3" t="e">
        <f>AND(#REF!,"AAAAAE3/9rY=")</f>
        <v>#REF!</v>
      </c>
      <c r="GB3" t="e">
        <f>AND(#REF!,"AAAAAE3/9rc=")</f>
        <v>#REF!</v>
      </c>
      <c r="GC3" t="e">
        <f>IF(#REF!,"AAAAAE3/9rg=",0)</f>
        <v>#REF!</v>
      </c>
      <c r="GD3" t="e">
        <f>AND(#REF!,"AAAAAE3/9rk=")</f>
        <v>#REF!</v>
      </c>
      <c r="GE3" t="e">
        <f>AND(#REF!,"AAAAAE3/9ro=")</f>
        <v>#REF!</v>
      </c>
      <c r="GF3" t="e">
        <f>AND(#REF!,"AAAAAE3/9rs=")</f>
        <v>#REF!</v>
      </c>
      <c r="GG3" t="e">
        <f>AND(#REF!,"AAAAAE3/9rw=")</f>
        <v>#REF!</v>
      </c>
      <c r="GH3" t="e">
        <f>AND(#REF!,"AAAAAE3/9r0=")</f>
        <v>#REF!</v>
      </c>
      <c r="GI3" t="e">
        <f>AND(#REF!,"AAAAAE3/9r4=")</f>
        <v>#REF!</v>
      </c>
      <c r="GJ3" t="e">
        <f>AND(#REF!,"AAAAAE3/9r8=")</f>
        <v>#REF!</v>
      </c>
      <c r="GK3" t="e">
        <f>IF(#REF!,"AAAAAE3/9sA=",0)</f>
        <v>#REF!</v>
      </c>
      <c r="GL3" t="e">
        <f>AND(#REF!,"AAAAAE3/9sE=")</f>
        <v>#REF!</v>
      </c>
      <c r="GM3" t="e">
        <f>AND(#REF!,"AAAAAE3/9sI=")</f>
        <v>#REF!</v>
      </c>
      <c r="GN3" t="e">
        <f>AND(#REF!,"AAAAAE3/9sM=")</f>
        <v>#REF!</v>
      </c>
      <c r="GO3" t="e">
        <f>AND(#REF!,"AAAAAE3/9sQ=")</f>
        <v>#REF!</v>
      </c>
      <c r="GP3" t="e">
        <f>AND(#REF!,"AAAAAE3/9sU=")</f>
        <v>#REF!</v>
      </c>
      <c r="GQ3" t="e">
        <f>AND(#REF!,"AAAAAE3/9sY=")</f>
        <v>#REF!</v>
      </c>
      <c r="GR3" t="e">
        <f>AND(#REF!,"AAAAAE3/9sc=")</f>
        <v>#REF!</v>
      </c>
      <c r="GS3" t="e">
        <f>IF(#REF!,"AAAAAE3/9sg=",0)</f>
        <v>#REF!</v>
      </c>
      <c r="GT3" t="e">
        <f>AND(#REF!,"AAAAAE3/9sk=")</f>
        <v>#REF!</v>
      </c>
      <c r="GU3" t="e">
        <f>AND(#REF!,"AAAAAE3/9so=")</f>
        <v>#REF!</v>
      </c>
      <c r="GV3" t="e">
        <f>AND(#REF!,"AAAAAE3/9ss=")</f>
        <v>#REF!</v>
      </c>
      <c r="GW3" t="e">
        <f>AND(#REF!,"AAAAAE3/9sw=")</f>
        <v>#REF!</v>
      </c>
      <c r="GX3" t="e">
        <f>AND(#REF!,"AAAAAE3/9s0=")</f>
        <v>#REF!</v>
      </c>
      <c r="GY3" t="e">
        <f>AND(#REF!,"AAAAAE3/9s4=")</f>
        <v>#REF!</v>
      </c>
      <c r="GZ3" t="e">
        <f>AND(#REF!,"AAAAAE3/9s8=")</f>
        <v>#REF!</v>
      </c>
      <c r="HA3" t="e">
        <f>IF(#REF!,"AAAAAE3/9tA=",0)</f>
        <v>#REF!</v>
      </c>
      <c r="HB3" t="e">
        <f>AND(#REF!,"AAAAAE3/9tE=")</f>
        <v>#REF!</v>
      </c>
      <c r="HC3" t="e">
        <f>AND(#REF!,"AAAAAE3/9tI=")</f>
        <v>#REF!</v>
      </c>
      <c r="HD3" t="e">
        <f>AND(#REF!,"AAAAAE3/9tM=")</f>
        <v>#REF!</v>
      </c>
      <c r="HE3" t="e">
        <f>AND(#REF!,"AAAAAE3/9tQ=")</f>
        <v>#REF!</v>
      </c>
      <c r="HF3" t="e">
        <f>AND(#REF!,"AAAAAE3/9tU=")</f>
        <v>#REF!</v>
      </c>
      <c r="HG3" t="e">
        <f>AND(#REF!,"AAAAAE3/9tY=")</f>
        <v>#REF!</v>
      </c>
      <c r="HH3" t="e">
        <f>AND(#REF!,"AAAAAE3/9tc=")</f>
        <v>#REF!</v>
      </c>
      <c r="HI3" t="e">
        <f>IF(#REF!,"AAAAAE3/9tg=",0)</f>
        <v>#REF!</v>
      </c>
      <c r="HJ3" t="e">
        <f>AND(#REF!,"AAAAAE3/9tk=")</f>
        <v>#REF!</v>
      </c>
      <c r="HK3" t="e">
        <f>AND(#REF!,"AAAAAE3/9to=")</f>
        <v>#REF!</v>
      </c>
      <c r="HL3" t="e">
        <f>AND(#REF!,"AAAAAE3/9ts=")</f>
        <v>#REF!</v>
      </c>
      <c r="HM3" t="e">
        <f>AND(#REF!,"AAAAAE3/9tw=")</f>
        <v>#REF!</v>
      </c>
      <c r="HN3" t="e">
        <f>AND(#REF!,"AAAAAE3/9t0=")</f>
        <v>#REF!</v>
      </c>
      <c r="HO3" t="e">
        <f>AND(#REF!,"AAAAAE3/9t4=")</f>
        <v>#REF!</v>
      </c>
      <c r="HP3" t="e">
        <f>AND(#REF!,"AAAAAE3/9t8=")</f>
        <v>#REF!</v>
      </c>
      <c r="HQ3" t="e">
        <f>IF(#REF!,"AAAAAE3/9uA=",0)</f>
        <v>#REF!</v>
      </c>
      <c r="HR3" t="e">
        <f>AND(#REF!,"AAAAAE3/9uE=")</f>
        <v>#REF!</v>
      </c>
      <c r="HS3" t="e">
        <f>AND(#REF!,"AAAAAE3/9uI=")</f>
        <v>#REF!</v>
      </c>
      <c r="HT3" t="e">
        <f>AND(#REF!,"AAAAAE3/9uM=")</f>
        <v>#REF!</v>
      </c>
      <c r="HU3" t="e">
        <f>AND(#REF!,"AAAAAE3/9uQ=")</f>
        <v>#REF!</v>
      </c>
      <c r="HV3" t="e">
        <f>AND(#REF!,"AAAAAE3/9uU=")</f>
        <v>#REF!</v>
      </c>
      <c r="HW3" t="e">
        <f>AND(#REF!,"AAAAAE3/9uY=")</f>
        <v>#REF!</v>
      </c>
      <c r="HX3" t="e">
        <f>AND(#REF!,"AAAAAE3/9uc=")</f>
        <v>#REF!</v>
      </c>
      <c r="HY3" t="e">
        <f>IF(#REF!,"AAAAAE3/9ug=",0)</f>
        <v>#REF!</v>
      </c>
      <c r="HZ3" t="e">
        <f>AND(#REF!,"AAAAAE3/9uk=")</f>
        <v>#REF!</v>
      </c>
      <c r="IA3" t="e">
        <f>AND(#REF!,"AAAAAE3/9uo=")</f>
        <v>#REF!</v>
      </c>
      <c r="IB3" t="e">
        <f>AND(#REF!,"AAAAAE3/9us=")</f>
        <v>#REF!</v>
      </c>
      <c r="IC3" t="e">
        <f>AND(#REF!,"AAAAAE3/9uw=")</f>
        <v>#REF!</v>
      </c>
      <c r="ID3" t="e">
        <f>AND(#REF!,"AAAAAE3/9u0=")</f>
        <v>#REF!</v>
      </c>
      <c r="IE3" t="e">
        <f>AND(#REF!,"AAAAAE3/9u4=")</f>
        <v>#REF!</v>
      </c>
      <c r="IF3" t="e">
        <f>AND(#REF!,"AAAAAE3/9u8=")</f>
        <v>#REF!</v>
      </c>
      <c r="IG3" t="e">
        <f>IF(#REF!,"AAAAAE3/9vA=",0)</f>
        <v>#REF!</v>
      </c>
      <c r="IH3" t="e">
        <f>AND(#REF!,"AAAAAE3/9vE=")</f>
        <v>#REF!</v>
      </c>
      <c r="II3" t="e">
        <f>AND(#REF!,"AAAAAE3/9vI=")</f>
        <v>#REF!</v>
      </c>
      <c r="IJ3" t="e">
        <f>AND(#REF!,"AAAAAE3/9vM=")</f>
        <v>#REF!</v>
      </c>
      <c r="IK3" t="e">
        <f>AND(#REF!,"AAAAAE3/9vQ=")</f>
        <v>#REF!</v>
      </c>
      <c r="IL3" t="e">
        <f>AND(#REF!,"AAAAAE3/9vU=")</f>
        <v>#REF!</v>
      </c>
      <c r="IM3" t="e">
        <f>AND(#REF!,"AAAAAE3/9vY=")</f>
        <v>#REF!</v>
      </c>
      <c r="IN3" t="e">
        <f>AND(#REF!,"AAAAAE3/9vc=")</f>
        <v>#REF!</v>
      </c>
      <c r="IO3" t="e">
        <f>IF(#REF!,"AAAAAE3/9vg=",0)</f>
        <v>#REF!</v>
      </c>
      <c r="IP3" t="e">
        <f>AND(#REF!,"AAAAAE3/9vk=")</f>
        <v>#REF!</v>
      </c>
      <c r="IQ3" t="e">
        <f>AND(#REF!,"AAAAAE3/9vo=")</f>
        <v>#REF!</v>
      </c>
      <c r="IR3" t="e">
        <f>AND(#REF!,"AAAAAE3/9vs=")</f>
        <v>#REF!</v>
      </c>
      <c r="IS3" t="e">
        <f>AND(#REF!,"AAAAAE3/9vw=")</f>
        <v>#REF!</v>
      </c>
      <c r="IT3" t="e">
        <f>AND(#REF!,"AAAAAE3/9v0=")</f>
        <v>#REF!</v>
      </c>
      <c r="IU3" t="e">
        <f>AND(#REF!,"AAAAAE3/9v4=")</f>
        <v>#REF!</v>
      </c>
      <c r="IV3" t="e">
        <f>AND(#REF!,"AAAAAE3/9v8=")</f>
        <v>#REF!</v>
      </c>
    </row>
    <row r="4" spans="1:256" ht="15">
      <c r="A4" t="e">
        <f>IF(#REF!,"AAAAAH6X/wA=",0)</f>
        <v>#REF!</v>
      </c>
      <c r="B4" t="e">
        <f>AND(#REF!,"AAAAAH6X/wE=")</f>
        <v>#REF!</v>
      </c>
      <c r="C4" t="e">
        <f>AND(#REF!,"AAAAAH6X/wI=")</f>
        <v>#REF!</v>
      </c>
      <c r="D4" t="e">
        <f>AND(#REF!,"AAAAAH6X/wM=")</f>
        <v>#REF!</v>
      </c>
      <c r="E4" t="e">
        <f>AND(#REF!,"AAAAAH6X/wQ=")</f>
        <v>#REF!</v>
      </c>
      <c r="F4" t="e">
        <f>AND(#REF!,"AAAAAH6X/wU=")</f>
        <v>#REF!</v>
      </c>
      <c r="G4" t="e">
        <f>AND(#REF!,"AAAAAH6X/wY=")</f>
        <v>#REF!</v>
      </c>
      <c r="H4" t="e">
        <f>AND(#REF!,"AAAAAH6X/wc=")</f>
        <v>#REF!</v>
      </c>
      <c r="I4" t="e">
        <f>IF(#REF!,"AAAAAH6X/wg=",0)</f>
        <v>#REF!</v>
      </c>
      <c r="J4" t="e">
        <f>AND(#REF!,"AAAAAH6X/wk=")</f>
        <v>#REF!</v>
      </c>
      <c r="K4" t="e">
        <f>AND(#REF!,"AAAAAH6X/wo=")</f>
        <v>#REF!</v>
      </c>
      <c r="L4" t="e">
        <f>AND(#REF!,"AAAAAH6X/ws=")</f>
        <v>#REF!</v>
      </c>
      <c r="M4" t="e">
        <f>AND(#REF!,"AAAAAH6X/ww=")</f>
        <v>#REF!</v>
      </c>
      <c r="N4" t="e">
        <f>AND(#REF!,"AAAAAH6X/w0=")</f>
        <v>#REF!</v>
      </c>
      <c r="O4" t="e">
        <f>AND(#REF!,"AAAAAH6X/w4=")</f>
        <v>#REF!</v>
      </c>
      <c r="P4" t="e">
        <f>AND(#REF!,"AAAAAH6X/w8=")</f>
        <v>#REF!</v>
      </c>
      <c r="Q4" t="e">
        <f>IF(#REF!,"AAAAAH6X/xA=",0)</f>
        <v>#REF!</v>
      </c>
      <c r="R4" t="e">
        <f>AND(#REF!,"AAAAAH6X/xE=")</f>
        <v>#REF!</v>
      </c>
      <c r="S4" t="e">
        <f>AND(#REF!,"AAAAAH6X/xI=")</f>
        <v>#REF!</v>
      </c>
      <c r="T4" t="e">
        <f>AND(#REF!,"AAAAAH6X/xM=")</f>
        <v>#REF!</v>
      </c>
      <c r="U4" t="e">
        <f>AND(#REF!,"AAAAAH6X/xQ=")</f>
        <v>#REF!</v>
      </c>
      <c r="V4" t="e">
        <f>AND(#REF!,"AAAAAH6X/xU=")</f>
        <v>#REF!</v>
      </c>
      <c r="W4" t="e">
        <f>AND(#REF!,"AAAAAH6X/xY=")</f>
        <v>#REF!</v>
      </c>
      <c r="X4" t="e">
        <f>AND(#REF!,"AAAAAH6X/xc=")</f>
        <v>#REF!</v>
      </c>
      <c r="Y4" t="e">
        <f>IF(#REF!,"AAAAAH6X/xg=",0)</f>
        <v>#REF!</v>
      </c>
      <c r="Z4" t="e">
        <f>AND(#REF!,"AAAAAH6X/xk=")</f>
        <v>#REF!</v>
      </c>
      <c r="AA4" t="e">
        <f>AND(#REF!,"AAAAAH6X/xo=")</f>
        <v>#REF!</v>
      </c>
      <c r="AB4" t="e">
        <f>AND(#REF!,"AAAAAH6X/xs=")</f>
        <v>#REF!</v>
      </c>
      <c r="AC4" t="e">
        <f>AND(#REF!,"AAAAAH6X/xw=")</f>
        <v>#REF!</v>
      </c>
      <c r="AD4" t="e">
        <f>AND(#REF!,"AAAAAH6X/x0=")</f>
        <v>#REF!</v>
      </c>
      <c r="AE4" t="e">
        <f>AND(#REF!,"AAAAAH6X/x4=")</f>
        <v>#REF!</v>
      </c>
      <c r="AF4" t="e">
        <f>AND(#REF!,"AAAAAH6X/x8=")</f>
        <v>#REF!</v>
      </c>
      <c r="AG4" t="e">
        <f>IF(#REF!,"AAAAAH6X/yA=",0)</f>
        <v>#REF!</v>
      </c>
      <c r="AH4" t="e">
        <f>AND(#REF!,"AAAAAH6X/yE=")</f>
        <v>#REF!</v>
      </c>
      <c r="AI4" t="e">
        <f>AND(#REF!,"AAAAAH6X/yI=")</f>
        <v>#REF!</v>
      </c>
      <c r="AJ4" t="e">
        <f>AND(#REF!,"AAAAAH6X/yM=")</f>
        <v>#REF!</v>
      </c>
      <c r="AK4" t="e">
        <f>AND(#REF!,"AAAAAH6X/yQ=")</f>
        <v>#REF!</v>
      </c>
      <c r="AL4" t="e">
        <f>AND(#REF!,"AAAAAH6X/yU=")</f>
        <v>#REF!</v>
      </c>
      <c r="AM4" t="e">
        <f>AND(#REF!,"AAAAAH6X/yY=")</f>
        <v>#REF!</v>
      </c>
      <c r="AN4" t="e">
        <f>AND(#REF!,"AAAAAH6X/yc=")</f>
        <v>#REF!</v>
      </c>
      <c r="AO4" t="e">
        <f>IF(#REF!,"AAAAAH6X/yg=",0)</f>
        <v>#REF!</v>
      </c>
      <c r="AP4" t="e">
        <f>AND(#REF!,"AAAAAH6X/yk=")</f>
        <v>#REF!</v>
      </c>
      <c r="AQ4" t="e">
        <f>AND(#REF!,"AAAAAH6X/yo=")</f>
        <v>#REF!</v>
      </c>
      <c r="AR4" t="e">
        <f>AND(#REF!,"AAAAAH6X/ys=")</f>
        <v>#REF!</v>
      </c>
      <c r="AS4" t="e">
        <f>AND(#REF!,"AAAAAH6X/yw=")</f>
        <v>#REF!</v>
      </c>
      <c r="AT4" t="e">
        <f>AND(#REF!,"AAAAAH6X/y0=")</f>
        <v>#REF!</v>
      </c>
      <c r="AU4" t="e">
        <f>AND(#REF!,"AAAAAH6X/y4=")</f>
        <v>#REF!</v>
      </c>
      <c r="AV4" t="e">
        <f>AND(#REF!,"AAAAAH6X/y8=")</f>
        <v>#REF!</v>
      </c>
      <c r="AW4" t="e">
        <f>IF(#REF!,"AAAAAH6X/zA=",0)</f>
        <v>#REF!</v>
      </c>
      <c r="AX4" t="e">
        <f>AND(#REF!,"AAAAAH6X/zE=")</f>
        <v>#REF!</v>
      </c>
      <c r="AY4" t="e">
        <f>AND(#REF!,"AAAAAH6X/zI=")</f>
        <v>#REF!</v>
      </c>
      <c r="AZ4" t="e">
        <f>AND(#REF!,"AAAAAH6X/zM=")</f>
        <v>#REF!</v>
      </c>
      <c r="BA4" t="e">
        <f>AND(#REF!,"AAAAAH6X/zQ=")</f>
        <v>#REF!</v>
      </c>
      <c r="BB4" t="e">
        <f>AND(#REF!,"AAAAAH6X/zU=")</f>
        <v>#REF!</v>
      </c>
      <c r="BC4" t="e">
        <f>AND(#REF!,"AAAAAH6X/zY=")</f>
        <v>#REF!</v>
      </c>
      <c r="BD4" t="e">
        <f>AND(#REF!,"AAAAAH6X/zc=")</f>
        <v>#REF!</v>
      </c>
      <c r="BE4" t="e">
        <f>IF(#REF!,"AAAAAH6X/zg=",0)</f>
        <v>#REF!</v>
      </c>
      <c r="BF4" t="e">
        <f>AND(#REF!,"AAAAAH6X/zk=")</f>
        <v>#REF!</v>
      </c>
      <c r="BG4" t="e">
        <f>AND(#REF!,"AAAAAH6X/zo=")</f>
        <v>#REF!</v>
      </c>
      <c r="BH4" t="e">
        <f>AND(#REF!,"AAAAAH6X/zs=")</f>
        <v>#REF!</v>
      </c>
      <c r="BI4" t="e">
        <f>AND(#REF!,"AAAAAH6X/zw=")</f>
        <v>#REF!</v>
      </c>
      <c r="BJ4" t="e">
        <f>AND(#REF!,"AAAAAH6X/z0=")</f>
        <v>#REF!</v>
      </c>
      <c r="BK4" t="e">
        <f>AND(#REF!,"AAAAAH6X/z4=")</f>
        <v>#REF!</v>
      </c>
      <c r="BL4" t="e">
        <f>AND(#REF!,"AAAAAH6X/z8=")</f>
        <v>#REF!</v>
      </c>
      <c r="BM4" t="e">
        <f>IF(#REF!,"AAAAAH6X/0A=",0)</f>
        <v>#REF!</v>
      </c>
      <c r="BN4" t="e">
        <f>AND(#REF!,"AAAAAH6X/0E=")</f>
        <v>#REF!</v>
      </c>
      <c r="BO4" t="e">
        <f>AND(#REF!,"AAAAAH6X/0I=")</f>
        <v>#REF!</v>
      </c>
      <c r="BP4" t="e">
        <f>AND(#REF!,"AAAAAH6X/0M=")</f>
        <v>#REF!</v>
      </c>
      <c r="BQ4" t="e">
        <f>AND(#REF!,"AAAAAH6X/0Q=")</f>
        <v>#REF!</v>
      </c>
      <c r="BR4" t="e">
        <f>AND(#REF!,"AAAAAH6X/0U=")</f>
        <v>#REF!</v>
      </c>
      <c r="BS4" t="e">
        <f>AND(#REF!,"AAAAAH6X/0Y=")</f>
        <v>#REF!</v>
      </c>
      <c r="BT4" t="e">
        <f>AND(#REF!,"AAAAAH6X/0c=")</f>
        <v>#REF!</v>
      </c>
      <c r="BU4" t="e">
        <f>IF(#REF!,"AAAAAH6X/0g=",0)</f>
        <v>#REF!</v>
      </c>
      <c r="BV4" t="e">
        <f>AND(#REF!,"AAAAAH6X/0k=")</f>
        <v>#REF!</v>
      </c>
      <c r="BW4" t="e">
        <f>AND(#REF!,"AAAAAH6X/0o=")</f>
        <v>#REF!</v>
      </c>
      <c r="BX4" t="e">
        <f>AND(#REF!,"AAAAAH6X/0s=")</f>
        <v>#REF!</v>
      </c>
      <c r="BY4" t="e">
        <f>AND(#REF!,"AAAAAH6X/0w=")</f>
        <v>#REF!</v>
      </c>
      <c r="BZ4" t="e">
        <f>AND(#REF!,"AAAAAH6X/00=")</f>
        <v>#REF!</v>
      </c>
      <c r="CA4" t="e">
        <f>AND(#REF!,"AAAAAH6X/04=")</f>
        <v>#REF!</v>
      </c>
      <c r="CB4" t="e">
        <f>AND(#REF!,"AAAAAH6X/08=")</f>
        <v>#REF!</v>
      </c>
      <c r="CC4" t="e">
        <f>IF(#REF!,"AAAAAH6X/1A=",0)</f>
        <v>#REF!</v>
      </c>
      <c r="CD4" t="e">
        <f>AND(#REF!,"AAAAAH6X/1E=")</f>
        <v>#REF!</v>
      </c>
      <c r="CE4" t="e">
        <f>AND(#REF!,"AAAAAH6X/1I=")</f>
        <v>#REF!</v>
      </c>
      <c r="CF4" t="e">
        <f>AND(#REF!,"AAAAAH6X/1M=")</f>
        <v>#REF!</v>
      </c>
      <c r="CG4" t="e">
        <f>AND(#REF!,"AAAAAH6X/1Q=")</f>
        <v>#REF!</v>
      </c>
      <c r="CH4" t="e">
        <f>AND(#REF!,"AAAAAH6X/1U=")</f>
        <v>#REF!</v>
      </c>
      <c r="CI4" t="e">
        <f>AND(#REF!,"AAAAAH6X/1Y=")</f>
        <v>#REF!</v>
      </c>
      <c r="CJ4" t="e">
        <f>AND(#REF!,"AAAAAH6X/1c=")</f>
        <v>#REF!</v>
      </c>
      <c r="CK4" t="e">
        <f>IF(#REF!,"AAAAAH6X/1g=",0)</f>
        <v>#REF!</v>
      </c>
      <c r="CL4" t="e">
        <f>AND(#REF!,"AAAAAH6X/1k=")</f>
        <v>#REF!</v>
      </c>
      <c r="CM4" t="e">
        <f>AND(#REF!,"AAAAAH6X/1o=")</f>
        <v>#REF!</v>
      </c>
      <c r="CN4" t="e">
        <f>AND(#REF!,"AAAAAH6X/1s=")</f>
        <v>#REF!</v>
      </c>
      <c r="CO4" t="e">
        <f>AND(#REF!,"AAAAAH6X/1w=")</f>
        <v>#REF!</v>
      </c>
      <c r="CP4" t="e">
        <f>AND(#REF!,"AAAAAH6X/10=")</f>
        <v>#REF!</v>
      </c>
      <c r="CQ4" t="e">
        <f>AND(#REF!,"AAAAAH6X/14=")</f>
        <v>#REF!</v>
      </c>
      <c r="CR4" t="e">
        <f>AND(#REF!,"AAAAAH6X/18=")</f>
        <v>#REF!</v>
      </c>
      <c r="CS4" t="e">
        <f>IF(#REF!,"AAAAAH6X/2A=",0)</f>
        <v>#REF!</v>
      </c>
      <c r="CT4" t="e">
        <f>AND(#REF!,"AAAAAH6X/2E=")</f>
        <v>#REF!</v>
      </c>
      <c r="CU4" t="e">
        <f>AND(#REF!,"AAAAAH6X/2I=")</f>
        <v>#REF!</v>
      </c>
      <c r="CV4" t="e">
        <f>AND(#REF!,"AAAAAH6X/2M=")</f>
        <v>#REF!</v>
      </c>
      <c r="CW4" t="e">
        <f>AND(#REF!,"AAAAAH6X/2Q=")</f>
        <v>#REF!</v>
      </c>
      <c r="CX4" t="e">
        <f>AND(#REF!,"AAAAAH6X/2U=")</f>
        <v>#REF!</v>
      </c>
      <c r="CY4" t="e">
        <f>AND(#REF!,"AAAAAH6X/2Y=")</f>
        <v>#REF!</v>
      </c>
      <c r="CZ4" t="e">
        <f>AND(#REF!,"AAAAAH6X/2c=")</f>
        <v>#REF!</v>
      </c>
      <c r="DA4" t="e">
        <f>IF(#REF!,"AAAAAH6X/2g=",0)</f>
        <v>#REF!</v>
      </c>
      <c r="DB4" t="e">
        <f>AND(#REF!,"AAAAAH6X/2k=")</f>
        <v>#REF!</v>
      </c>
      <c r="DC4" t="e">
        <f>AND(#REF!,"AAAAAH6X/2o=")</f>
        <v>#REF!</v>
      </c>
      <c r="DD4" t="e">
        <f>AND(#REF!,"AAAAAH6X/2s=")</f>
        <v>#REF!</v>
      </c>
      <c r="DE4" t="e">
        <f>AND(#REF!,"AAAAAH6X/2w=")</f>
        <v>#REF!</v>
      </c>
      <c r="DF4" t="e">
        <f>AND(#REF!,"AAAAAH6X/20=")</f>
        <v>#REF!</v>
      </c>
      <c r="DG4" t="e">
        <f>AND(#REF!,"AAAAAH6X/24=")</f>
        <v>#REF!</v>
      </c>
      <c r="DH4" t="e">
        <f>AND(#REF!,"AAAAAH6X/28=")</f>
        <v>#REF!</v>
      </c>
      <c r="DI4" t="e">
        <f>IF(#REF!,"AAAAAH6X/3A=",0)</f>
        <v>#REF!</v>
      </c>
      <c r="DJ4" t="e">
        <f>AND(#REF!,"AAAAAH6X/3E=")</f>
        <v>#REF!</v>
      </c>
      <c r="DK4" t="e">
        <f>AND(#REF!,"AAAAAH6X/3I=")</f>
        <v>#REF!</v>
      </c>
      <c r="DL4" t="e">
        <f>AND(#REF!,"AAAAAH6X/3M=")</f>
        <v>#REF!</v>
      </c>
      <c r="DM4" t="e">
        <f>AND(#REF!,"AAAAAH6X/3Q=")</f>
        <v>#REF!</v>
      </c>
      <c r="DN4" t="e">
        <f>AND(#REF!,"AAAAAH6X/3U=")</f>
        <v>#REF!</v>
      </c>
      <c r="DO4" t="e">
        <f>AND(#REF!,"AAAAAH6X/3Y=")</f>
        <v>#REF!</v>
      </c>
      <c r="DP4" t="e">
        <f>AND(#REF!,"AAAAAH6X/3c=")</f>
        <v>#REF!</v>
      </c>
      <c r="DQ4" t="e">
        <f>IF(#REF!,"AAAAAH6X/3g=",0)</f>
        <v>#REF!</v>
      </c>
      <c r="DR4" t="e">
        <f>AND(#REF!,"AAAAAH6X/3k=")</f>
        <v>#REF!</v>
      </c>
      <c r="DS4" t="e">
        <f>AND(#REF!,"AAAAAH6X/3o=")</f>
        <v>#REF!</v>
      </c>
      <c r="DT4" t="e">
        <f>AND(#REF!,"AAAAAH6X/3s=")</f>
        <v>#REF!</v>
      </c>
      <c r="DU4" t="e">
        <f>AND(#REF!,"AAAAAH6X/3w=")</f>
        <v>#REF!</v>
      </c>
      <c r="DV4" t="e">
        <f>AND(#REF!,"AAAAAH6X/30=")</f>
        <v>#REF!</v>
      </c>
      <c r="DW4" t="e">
        <f>AND(#REF!,"AAAAAH6X/34=")</f>
        <v>#REF!</v>
      </c>
      <c r="DX4" t="e">
        <f>AND(#REF!,"AAAAAH6X/38=")</f>
        <v>#REF!</v>
      </c>
      <c r="DY4" t="e">
        <f>IF(#REF!,"AAAAAH6X/4A=",0)</f>
        <v>#REF!</v>
      </c>
      <c r="DZ4" t="e">
        <f>AND(#REF!,"AAAAAH6X/4E=")</f>
        <v>#REF!</v>
      </c>
      <c r="EA4" t="e">
        <f>AND(#REF!,"AAAAAH6X/4I=")</f>
        <v>#REF!</v>
      </c>
      <c r="EB4" t="e">
        <f>AND(#REF!,"AAAAAH6X/4M=")</f>
        <v>#REF!</v>
      </c>
      <c r="EC4" t="e">
        <f>AND(#REF!,"AAAAAH6X/4Q=")</f>
        <v>#REF!</v>
      </c>
      <c r="ED4" t="e">
        <f>AND(#REF!,"AAAAAH6X/4U=")</f>
        <v>#REF!</v>
      </c>
      <c r="EE4" t="e">
        <f>AND(#REF!,"AAAAAH6X/4Y=")</f>
        <v>#REF!</v>
      </c>
      <c r="EF4" t="e">
        <f>AND(#REF!,"AAAAAH6X/4c=")</f>
        <v>#REF!</v>
      </c>
      <c r="EG4" t="e">
        <f>IF(#REF!,"AAAAAH6X/4g=",0)</f>
        <v>#REF!</v>
      </c>
      <c r="EH4" t="e">
        <f>AND(#REF!,"AAAAAH6X/4k=")</f>
        <v>#REF!</v>
      </c>
      <c r="EI4" t="e">
        <f>AND(#REF!,"AAAAAH6X/4o=")</f>
        <v>#REF!</v>
      </c>
      <c r="EJ4" t="e">
        <f>AND(#REF!,"AAAAAH6X/4s=")</f>
        <v>#REF!</v>
      </c>
      <c r="EK4" t="e">
        <f>AND(#REF!,"AAAAAH6X/4w=")</f>
        <v>#REF!</v>
      </c>
      <c r="EL4" t="e">
        <f>AND(#REF!,"AAAAAH6X/40=")</f>
        <v>#REF!</v>
      </c>
      <c r="EM4" t="e">
        <f>AND(#REF!,"AAAAAH6X/44=")</f>
        <v>#REF!</v>
      </c>
      <c r="EN4" t="e">
        <f>AND(#REF!,"AAAAAH6X/48=")</f>
        <v>#REF!</v>
      </c>
      <c r="EO4" t="e">
        <f>IF(#REF!,"AAAAAH6X/5A=",0)</f>
        <v>#REF!</v>
      </c>
      <c r="EP4" t="e">
        <f>AND(#REF!,"AAAAAH6X/5E=")</f>
        <v>#REF!</v>
      </c>
      <c r="EQ4" t="e">
        <f>AND(#REF!,"AAAAAH6X/5I=")</f>
        <v>#REF!</v>
      </c>
      <c r="ER4" t="e">
        <f>AND(#REF!,"AAAAAH6X/5M=")</f>
        <v>#REF!</v>
      </c>
      <c r="ES4" t="e">
        <f>AND(#REF!,"AAAAAH6X/5Q=")</f>
        <v>#REF!</v>
      </c>
      <c r="ET4" t="e">
        <f>AND(#REF!,"AAAAAH6X/5U=")</f>
        <v>#REF!</v>
      </c>
      <c r="EU4" t="e">
        <f>AND(#REF!,"AAAAAH6X/5Y=")</f>
        <v>#REF!</v>
      </c>
      <c r="EV4" t="e">
        <f>AND(#REF!,"AAAAAH6X/5c=")</f>
        <v>#REF!</v>
      </c>
      <c r="EW4" t="e">
        <f>IF(#REF!,"AAAAAH6X/5g=",0)</f>
        <v>#REF!</v>
      </c>
      <c r="EX4" t="e">
        <f>AND(#REF!,"AAAAAH6X/5k=")</f>
        <v>#REF!</v>
      </c>
      <c r="EY4" t="e">
        <f>AND(#REF!,"AAAAAH6X/5o=")</f>
        <v>#REF!</v>
      </c>
      <c r="EZ4" t="e">
        <f>AND(#REF!,"AAAAAH6X/5s=")</f>
        <v>#REF!</v>
      </c>
      <c r="FA4" t="e">
        <f>AND(#REF!,"AAAAAH6X/5w=")</f>
        <v>#REF!</v>
      </c>
      <c r="FB4" t="e">
        <f>AND(#REF!,"AAAAAH6X/50=")</f>
        <v>#REF!</v>
      </c>
      <c r="FC4" t="e">
        <f>AND(#REF!,"AAAAAH6X/54=")</f>
        <v>#REF!</v>
      </c>
      <c r="FD4" t="e">
        <f>AND(#REF!,"AAAAAH6X/58=")</f>
        <v>#REF!</v>
      </c>
      <c r="FE4" t="e">
        <f>IF(#REF!,"AAAAAH6X/6A=",0)</f>
        <v>#REF!</v>
      </c>
      <c r="FF4" t="e">
        <f>AND(#REF!,"AAAAAH6X/6E=")</f>
        <v>#REF!</v>
      </c>
      <c r="FG4" t="e">
        <f>AND(#REF!,"AAAAAH6X/6I=")</f>
        <v>#REF!</v>
      </c>
      <c r="FH4" t="e">
        <f>AND(#REF!,"AAAAAH6X/6M=")</f>
        <v>#REF!</v>
      </c>
      <c r="FI4" t="e">
        <f>AND(#REF!,"AAAAAH6X/6Q=")</f>
        <v>#REF!</v>
      </c>
      <c r="FJ4" t="e">
        <f>AND(#REF!,"AAAAAH6X/6U=")</f>
        <v>#REF!</v>
      </c>
      <c r="FK4" t="e">
        <f>AND(#REF!,"AAAAAH6X/6Y=")</f>
        <v>#REF!</v>
      </c>
      <c r="FL4" t="e">
        <f>AND(#REF!,"AAAAAH6X/6c=")</f>
        <v>#REF!</v>
      </c>
      <c r="FM4" t="e">
        <f>IF(#REF!,"AAAAAH6X/6g=",0)</f>
        <v>#REF!</v>
      </c>
      <c r="FN4" t="e">
        <f>AND(#REF!,"AAAAAH6X/6k=")</f>
        <v>#REF!</v>
      </c>
      <c r="FO4" t="e">
        <f>AND(#REF!,"AAAAAH6X/6o=")</f>
        <v>#REF!</v>
      </c>
      <c r="FP4" t="e">
        <f>AND(#REF!,"AAAAAH6X/6s=")</f>
        <v>#REF!</v>
      </c>
      <c r="FQ4" t="e">
        <f>AND(#REF!,"AAAAAH6X/6w=")</f>
        <v>#REF!</v>
      </c>
      <c r="FR4" t="e">
        <f>AND(#REF!,"AAAAAH6X/60=")</f>
        <v>#REF!</v>
      </c>
      <c r="FS4" t="e">
        <f>AND(#REF!,"AAAAAH6X/64=")</f>
        <v>#REF!</v>
      </c>
      <c r="FT4" t="e">
        <f>AND(#REF!,"AAAAAH6X/68=")</f>
        <v>#REF!</v>
      </c>
      <c r="FU4" t="e">
        <f>IF(#REF!,"AAAAAH6X/7A=",0)</f>
        <v>#REF!</v>
      </c>
      <c r="FV4" t="e">
        <f>AND(#REF!,"AAAAAH6X/7E=")</f>
        <v>#REF!</v>
      </c>
      <c r="FW4" t="e">
        <f>AND(#REF!,"AAAAAH6X/7I=")</f>
        <v>#REF!</v>
      </c>
      <c r="FX4" t="e">
        <f>AND(#REF!,"AAAAAH6X/7M=")</f>
        <v>#REF!</v>
      </c>
      <c r="FY4" t="e">
        <f>AND(#REF!,"AAAAAH6X/7Q=")</f>
        <v>#REF!</v>
      </c>
      <c r="FZ4" t="e">
        <f>AND(#REF!,"AAAAAH6X/7U=")</f>
        <v>#REF!</v>
      </c>
      <c r="GA4" t="e">
        <f>AND(#REF!,"AAAAAH6X/7Y=")</f>
        <v>#REF!</v>
      </c>
      <c r="GB4" t="e">
        <f>AND(#REF!,"AAAAAH6X/7c=")</f>
        <v>#REF!</v>
      </c>
      <c r="GC4" t="e">
        <f>IF(#REF!,"AAAAAH6X/7g=",0)</f>
        <v>#REF!</v>
      </c>
      <c r="GD4" t="e">
        <f>AND(#REF!,"AAAAAH6X/7k=")</f>
        <v>#REF!</v>
      </c>
      <c r="GE4" t="e">
        <f>AND(#REF!,"AAAAAH6X/7o=")</f>
        <v>#REF!</v>
      </c>
      <c r="GF4" t="e">
        <f>AND(#REF!,"AAAAAH6X/7s=")</f>
        <v>#REF!</v>
      </c>
      <c r="GG4" t="e">
        <f>AND(#REF!,"AAAAAH6X/7w=")</f>
        <v>#REF!</v>
      </c>
      <c r="GH4" t="e">
        <f>AND(#REF!,"AAAAAH6X/70=")</f>
        <v>#REF!</v>
      </c>
      <c r="GI4" t="e">
        <f>AND(#REF!,"AAAAAH6X/74=")</f>
        <v>#REF!</v>
      </c>
      <c r="GJ4" t="e">
        <f>AND(#REF!,"AAAAAH6X/78=")</f>
        <v>#REF!</v>
      </c>
      <c r="GK4" t="e">
        <f>IF(#REF!,"AAAAAH6X/8A=",0)</f>
        <v>#REF!</v>
      </c>
      <c r="GL4" t="e">
        <f>AND(#REF!,"AAAAAH6X/8E=")</f>
        <v>#REF!</v>
      </c>
      <c r="GM4" t="e">
        <f>AND(#REF!,"AAAAAH6X/8I=")</f>
        <v>#REF!</v>
      </c>
      <c r="GN4" t="e">
        <f>AND(#REF!,"AAAAAH6X/8M=")</f>
        <v>#REF!</v>
      </c>
      <c r="GO4" t="e">
        <f>AND(#REF!,"AAAAAH6X/8Q=")</f>
        <v>#REF!</v>
      </c>
      <c r="GP4" t="e">
        <f>AND(#REF!,"AAAAAH6X/8U=")</f>
        <v>#REF!</v>
      </c>
      <c r="GQ4" t="e">
        <f>AND(#REF!,"AAAAAH6X/8Y=")</f>
        <v>#REF!</v>
      </c>
      <c r="GR4" t="e">
        <f>AND(#REF!,"AAAAAH6X/8c=")</f>
        <v>#REF!</v>
      </c>
      <c r="GS4" t="e">
        <f>IF(#REF!,"AAAAAH6X/8g=",0)</f>
        <v>#REF!</v>
      </c>
      <c r="GT4" t="e">
        <f>AND(#REF!,"AAAAAH6X/8k=")</f>
        <v>#REF!</v>
      </c>
      <c r="GU4" t="e">
        <f>AND(#REF!,"AAAAAH6X/8o=")</f>
        <v>#REF!</v>
      </c>
      <c r="GV4" t="e">
        <f>AND(#REF!,"AAAAAH6X/8s=")</f>
        <v>#REF!</v>
      </c>
      <c r="GW4" t="e">
        <f>AND(#REF!,"AAAAAH6X/8w=")</f>
        <v>#REF!</v>
      </c>
      <c r="GX4" t="e">
        <f>AND(#REF!,"AAAAAH6X/80=")</f>
        <v>#REF!</v>
      </c>
      <c r="GY4" t="e">
        <f>AND(#REF!,"AAAAAH6X/84=")</f>
        <v>#REF!</v>
      </c>
      <c r="GZ4" t="e">
        <f>AND(#REF!,"AAAAAH6X/88=")</f>
        <v>#REF!</v>
      </c>
      <c r="HA4" t="e">
        <f>IF(#REF!,"AAAAAH6X/9A=",0)</f>
        <v>#REF!</v>
      </c>
      <c r="HB4" t="e">
        <f>AND(#REF!,"AAAAAH6X/9E=")</f>
        <v>#REF!</v>
      </c>
      <c r="HC4" t="e">
        <f>AND(#REF!,"AAAAAH6X/9I=")</f>
        <v>#REF!</v>
      </c>
      <c r="HD4" t="e">
        <f>AND(#REF!,"AAAAAH6X/9M=")</f>
        <v>#REF!</v>
      </c>
      <c r="HE4" t="e">
        <f>AND(#REF!,"AAAAAH6X/9Q=")</f>
        <v>#REF!</v>
      </c>
      <c r="HF4" t="e">
        <f>AND(#REF!,"AAAAAH6X/9U=")</f>
        <v>#REF!</v>
      </c>
      <c r="HG4" t="e">
        <f>AND(#REF!,"AAAAAH6X/9Y=")</f>
        <v>#REF!</v>
      </c>
      <c r="HH4" t="e">
        <f>AND(#REF!,"AAAAAH6X/9c=")</f>
        <v>#REF!</v>
      </c>
      <c r="HI4" t="e">
        <f>IF(#REF!,"AAAAAH6X/9g=",0)</f>
        <v>#REF!</v>
      </c>
      <c r="HJ4" t="e">
        <f>AND(#REF!,"AAAAAH6X/9k=")</f>
        <v>#REF!</v>
      </c>
      <c r="HK4" t="e">
        <f>AND(#REF!,"AAAAAH6X/9o=")</f>
        <v>#REF!</v>
      </c>
      <c r="HL4" t="e">
        <f>AND(#REF!,"AAAAAH6X/9s=")</f>
        <v>#REF!</v>
      </c>
      <c r="HM4" t="e">
        <f>AND(#REF!,"AAAAAH6X/9w=")</f>
        <v>#REF!</v>
      </c>
      <c r="HN4" t="e">
        <f>AND(#REF!,"AAAAAH6X/90=")</f>
        <v>#REF!</v>
      </c>
      <c r="HO4" t="e">
        <f>AND(#REF!,"AAAAAH6X/94=")</f>
        <v>#REF!</v>
      </c>
      <c r="HP4" t="e">
        <f>AND(#REF!,"AAAAAH6X/98=")</f>
        <v>#REF!</v>
      </c>
      <c r="HQ4" t="e">
        <f>IF(#REF!,"AAAAAH6X/+A=",0)</f>
        <v>#REF!</v>
      </c>
      <c r="HR4" t="e">
        <f>AND(#REF!,"AAAAAH6X/+E=")</f>
        <v>#REF!</v>
      </c>
      <c r="HS4" t="e">
        <f>AND(#REF!,"AAAAAH6X/+I=")</f>
        <v>#REF!</v>
      </c>
      <c r="HT4" t="e">
        <f>AND(#REF!,"AAAAAH6X/+M=")</f>
        <v>#REF!</v>
      </c>
      <c r="HU4" t="e">
        <f>AND(#REF!,"AAAAAH6X/+Q=")</f>
        <v>#REF!</v>
      </c>
      <c r="HV4" t="e">
        <f>AND(#REF!,"AAAAAH6X/+U=")</f>
        <v>#REF!</v>
      </c>
      <c r="HW4" t="e">
        <f>AND(#REF!,"AAAAAH6X/+Y=")</f>
        <v>#REF!</v>
      </c>
      <c r="HX4" t="e">
        <f>AND(#REF!,"AAAAAH6X/+c=")</f>
        <v>#REF!</v>
      </c>
      <c r="HY4" t="e">
        <f>IF(#REF!,"AAAAAH6X/+g=",0)</f>
        <v>#REF!</v>
      </c>
      <c r="HZ4" t="e">
        <f>AND(#REF!,"AAAAAH6X/+k=")</f>
        <v>#REF!</v>
      </c>
      <c r="IA4" t="e">
        <f>AND(#REF!,"AAAAAH6X/+o=")</f>
        <v>#REF!</v>
      </c>
      <c r="IB4" t="e">
        <f>AND(#REF!,"AAAAAH6X/+s=")</f>
        <v>#REF!</v>
      </c>
      <c r="IC4" t="e">
        <f>AND(#REF!,"AAAAAH6X/+w=")</f>
        <v>#REF!</v>
      </c>
      <c r="ID4" t="e">
        <f>AND(#REF!,"AAAAAH6X/+0=")</f>
        <v>#REF!</v>
      </c>
      <c r="IE4" t="e">
        <f>AND(#REF!,"AAAAAH6X/+4=")</f>
        <v>#REF!</v>
      </c>
      <c r="IF4" t="e">
        <f>AND(#REF!,"AAAAAH6X/+8=")</f>
        <v>#REF!</v>
      </c>
      <c r="IG4" t="e">
        <f>IF(#REF!,"AAAAAH6X//A=",0)</f>
        <v>#REF!</v>
      </c>
      <c r="IH4" t="e">
        <f>AND(#REF!,"AAAAAH6X//E=")</f>
        <v>#REF!</v>
      </c>
      <c r="II4" t="e">
        <f>AND(#REF!,"AAAAAH6X//I=")</f>
        <v>#REF!</v>
      </c>
      <c r="IJ4" t="e">
        <f>AND(#REF!,"AAAAAH6X//M=")</f>
        <v>#REF!</v>
      </c>
      <c r="IK4" t="e">
        <f>AND(#REF!,"AAAAAH6X//Q=")</f>
        <v>#REF!</v>
      </c>
      <c r="IL4" t="e">
        <f>AND(#REF!,"AAAAAH6X//U=")</f>
        <v>#REF!</v>
      </c>
      <c r="IM4" t="e">
        <f>AND(#REF!,"AAAAAH6X//Y=")</f>
        <v>#REF!</v>
      </c>
      <c r="IN4" t="e">
        <f>AND(#REF!,"AAAAAH6X//c=")</f>
        <v>#REF!</v>
      </c>
      <c r="IO4" t="e">
        <f>IF(#REF!,"AAAAAH6X//g=",0)</f>
        <v>#REF!</v>
      </c>
      <c r="IP4" t="e">
        <f>AND(#REF!,"AAAAAH6X//k=")</f>
        <v>#REF!</v>
      </c>
      <c r="IQ4" t="e">
        <f>AND(#REF!,"AAAAAH6X//o=")</f>
        <v>#REF!</v>
      </c>
      <c r="IR4" t="e">
        <f>AND(#REF!,"AAAAAH6X//s=")</f>
        <v>#REF!</v>
      </c>
      <c r="IS4" t="e">
        <f>AND(#REF!,"AAAAAH6X//w=")</f>
        <v>#REF!</v>
      </c>
      <c r="IT4" t="e">
        <f>AND(#REF!,"AAAAAH6X//0=")</f>
        <v>#REF!</v>
      </c>
      <c r="IU4" t="e">
        <f>AND(#REF!,"AAAAAH6X//4=")</f>
        <v>#REF!</v>
      </c>
      <c r="IV4" t="e">
        <f>AND(#REF!,"AAAAAH6X//8=")</f>
        <v>#REF!</v>
      </c>
    </row>
    <row r="5" spans="1:256" ht="15">
      <c r="A5" t="e">
        <f>IF(#REF!,"AAAAADb8/wA=",0)</f>
        <v>#REF!</v>
      </c>
      <c r="B5" t="e">
        <f>AND(#REF!,"AAAAADb8/wE=")</f>
        <v>#REF!</v>
      </c>
      <c r="C5" t="e">
        <f>AND(#REF!,"AAAAADb8/wI=")</f>
        <v>#REF!</v>
      </c>
      <c r="D5" t="e">
        <f>AND(#REF!,"AAAAADb8/wM=")</f>
        <v>#REF!</v>
      </c>
      <c r="E5" t="e">
        <f>AND(#REF!,"AAAAADb8/wQ=")</f>
        <v>#REF!</v>
      </c>
      <c r="F5" t="e">
        <f>AND(#REF!,"AAAAADb8/wU=")</f>
        <v>#REF!</v>
      </c>
      <c r="G5" t="e">
        <f>AND(#REF!,"AAAAADb8/wY=")</f>
        <v>#REF!</v>
      </c>
      <c r="H5" t="e">
        <f>AND(#REF!,"AAAAADb8/wc=")</f>
        <v>#REF!</v>
      </c>
      <c r="I5" t="e">
        <f>IF(#REF!,"AAAAADb8/wg=",0)</f>
        <v>#REF!</v>
      </c>
      <c r="J5" t="e">
        <f>AND(#REF!,"AAAAADb8/wk=")</f>
        <v>#REF!</v>
      </c>
      <c r="K5" t="e">
        <f>AND(#REF!,"AAAAADb8/wo=")</f>
        <v>#REF!</v>
      </c>
      <c r="L5" t="e">
        <f>AND(#REF!,"AAAAADb8/ws=")</f>
        <v>#REF!</v>
      </c>
      <c r="M5" t="e">
        <f>AND(#REF!,"AAAAADb8/ww=")</f>
        <v>#REF!</v>
      </c>
      <c r="N5" t="e">
        <f>AND(#REF!,"AAAAADb8/w0=")</f>
        <v>#REF!</v>
      </c>
      <c r="O5" t="e">
        <f>AND(#REF!,"AAAAADb8/w4=")</f>
        <v>#REF!</v>
      </c>
      <c r="P5" t="e">
        <f>AND(#REF!,"AAAAADb8/w8=")</f>
        <v>#REF!</v>
      </c>
      <c r="Q5" t="e">
        <f>IF(#REF!,"AAAAADb8/xA=",0)</f>
        <v>#REF!</v>
      </c>
      <c r="R5" t="e">
        <f>AND(#REF!,"AAAAADb8/xE=")</f>
        <v>#REF!</v>
      </c>
      <c r="S5" t="e">
        <f>AND(#REF!,"AAAAADb8/xI=")</f>
        <v>#REF!</v>
      </c>
      <c r="T5" t="e">
        <f>AND(#REF!,"AAAAADb8/xM=")</f>
        <v>#REF!</v>
      </c>
      <c r="U5" t="e">
        <f>AND(#REF!,"AAAAADb8/xQ=")</f>
        <v>#REF!</v>
      </c>
      <c r="V5" t="e">
        <f>AND(#REF!,"AAAAADb8/xU=")</f>
        <v>#REF!</v>
      </c>
      <c r="W5" t="e">
        <f>AND(#REF!,"AAAAADb8/xY=")</f>
        <v>#REF!</v>
      </c>
      <c r="X5" t="e">
        <f>AND(#REF!,"AAAAADb8/xc=")</f>
        <v>#REF!</v>
      </c>
      <c r="Y5" t="e">
        <f>IF(#REF!,"AAAAADb8/xg=",0)</f>
        <v>#REF!</v>
      </c>
      <c r="Z5" t="e">
        <f>AND(#REF!,"AAAAADb8/xk=")</f>
        <v>#REF!</v>
      </c>
      <c r="AA5" t="e">
        <f>AND(#REF!,"AAAAADb8/xo=")</f>
        <v>#REF!</v>
      </c>
      <c r="AB5" t="e">
        <f>AND(#REF!,"AAAAADb8/xs=")</f>
        <v>#REF!</v>
      </c>
      <c r="AC5" t="e">
        <f>AND(#REF!,"AAAAADb8/xw=")</f>
        <v>#REF!</v>
      </c>
      <c r="AD5" t="e">
        <f>AND(#REF!,"AAAAADb8/x0=")</f>
        <v>#REF!</v>
      </c>
      <c r="AE5" t="e">
        <f>AND(#REF!,"AAAAADb8/x4=")</f>
        <v>#REF!</v>
      </c>
      <c r="AF5" t="e">
        <f>AND(#REF!,"AAAAADb8/x8=")</f>
        <v>#REF!</v>
      </c>
      <c r="AG5" t="e">
        <f>IF(#REF!,"AAAAADb8/yA=",0)</f>
        <v>#REF!</v>
      </c>
      <c r="AH5" t="e">
        <f>AND(#REF!,"AAAAADb8/yE=")</f>
        <v>#REF!</v>
      </c>
      <c r="AI5" t="e">
        <f>AND(#REF!,"AAAAADb8/yI=")</f>
        <v>#REF!</v>
      </c>
      <c r="AJ5" t="e">
        <f>AND(#REF!,"AAAAADb8/yM=")</f>
        <v>#REF!</v>
      </c>
      <c r="AK5" t="e">
        <f>AND(#REF!,"AAAAADb8/yQ=")</f>
        <v>#REF!</v>
      </c>
      <c r="AL5" t="e">
        <f>AND(#REF!,"AAAAADb8/yU=")</f>
        <v>#REF!</v>
      </c>
      <c r="AM5" t="e">
        <f>AND(#REF!,"AAAAADb8/yY=")</f>
        <v>#REF!</v>
      </c>
      <c r="AN5" t="e">
        <f>AND(#REF!,"AAAAADb8/yc=")</f>
        <v>#REF!</v>
      </c>
      <c r="AO5" t="e">
        <f>IF(#REF!,"AAAAADb8/yg=",0)</f>
        <v>#REF!</v>
      </c>
      <c r="AP5" t="e">
        <f>AND(#REF!,"AAAAADb8/yk=")</f>
        <v>#REF!</v>
      </c>
      <c r="AQ5" t="e">
        <f>AND(#REF!,"AAAAADb8/yo=")</f>
        <v>#REF!</v>
      </c>
      <c r="AR5" t="e">
        <f>AND(#REF!,"AAAAADb8/ys=")</f>
        <v>#REF!</v>
      </c>
      <c r="AS5" t="e">
        <f>AND(#REF!,"AAAAADb8/yw=")</f>
        <v>#REF!</v>
      </c>
      <c r="AT5" t="e">
        <f>AND(#REF!,"AAAAADb8/y0=")</f>
        <v>#REF!</v>
      </c>
      <c r="AU5" t="e">
        <f>AND(#REF!,"AAAAADb8/y4=")</f>
        <v>#REF!</v>
      </c>
      <c r="AV5" t="e">
        <f>AND(#REF!,"AAAAADb8/y8=")</f>
        <v>#REF!</v>
      </c>
      <c r="AW5" t="e">
        <f>IF(#REF!,"AAAAADb8/zA=",0)</f>
        <v>#REF!</v>
      </c>
      <c r="AX5" t="e">
        <f>AND(#REF!,"AAAAADb8/zE=")</f>
        <v>#REF!</v>
      </c>
      <c r="AY5" t="e">
        <f>AND(#REF!,"AAAAADb8/zI=")</f>
        <v>#REF!</v>
      </c>
      <c r="AZ5" t="e">
        <f>AND(#REF!,"AAAAADb8/zM=")</f>
        <v>#REF!</v>
      </c>
      <c r="BA5" t="e">
        <f>AND(#REF!,"AAAAADb8/zQ=")</f>
        <v>#REF!</v>
      </c>
      <c r="BB5" t="e">
        <f>AND(#REF!,"AAAAADb8/zU=")</f>
        <v>#REF!</v>
      </c>
      <c r="BC5" t="e">
        <f>AND(#REF!,"AAAAADb8/zY=")</f>
        <v>#REF!</v>
      </c>
      <c r="BD5" t="e">
        <f>AND(#REF!,"AAAAADb8/zc=")</f>
        <v>#REF!</v>
      </c>
      <c r="BE5" t="e">
        <f>IF(#REF!,"AAAAADb8/zg=",0)</f>
        <v>#REF!</v>
      </c>
      <c r="BF5" t="e">
        <f>AND(#REF!,"AAAAADb8/zk=")</f>
        <v>#REF!</v>
      </c>
      <c r="BG5" t="e">
        <f>AND(#REF!,"AAAAADb8/zo=")</f>
        <v>#REF!</v>
      </c>
      <c r="BH5" t="e">
        <f>AND(#REF!,"AAAAADb8/zs=")</f>
        <v>#REF!</v>
      </c>
      <c r="BI5" t="e">
        <f>AND(#REF!,"AAAAADb8/zw=")</f>
        <v>#REF!</v>
      </c>
      <c r="BJ5" t="e">
        <f>AND(#REF!,"AAAAADb8/z0=")</f>
        <v>#REF!</v>
      </c>
      <c r="BK5" t="e">
        <f>AND(#REF!,"AAAAADb8/z4=")</f>
        <v>#REF!</v>
      </c>
      <c r="BL5" t="e">
        <f>AND(#REF!,"AAAAADb8/z8=")</f>
        <v>#REF!</v>
      </c>
      <c r="BM5" t="e">
        <f>IF(#REF!,"AAAAADb8/0A=",0)</f>
        <v>#REF!</v>
      </c>
      <c r="BN5" t="e">
        <f>AND(#REF!,"AAAAADb8/0E=")</f>
        <v>#REF!</v>
      </c>
      <c r="BO5" t="e">
        <f>AND(#REF!,"AAAAADb8/0I=")</f>
        <v>#REF!</v>
      </c>
      <c r="BP5" t="e">
        <f>AND(#REF!,"AAAAADb8/0M=")</f>
        <v>#REF!</v>
      </c>
      <c r="BQ5" t="e">
        <f>AND(#REF!,"AAAAADb8/0Q=")</f>
        <v>#REF!</v>
      </c>
      <c r="BR5" t="e">
        <f>AND(#REF!,"AAAAADb8/0U=")</f>
        <v>#REF!</v>
      </c>
      <c r="BS5" t="e">
        <f>AND(#REF!,"AAAAADb8/0Y=")</f>
        <v>#REF!</v>
      </c>
      <c r="BT5" t="e">
        <f>AND(#REF!,"AAAAADb8/0c=")</f>
        <v>#REF!</v>
      </c>
      <c r="BU5" t="e">
        <f>IF(#REF!,"AAAAADb8/0g=",0)</f>
        <v>#REF!</v>
      </c>
      <c r="BV5" t="e">
        <f>AND(#REF!,"AAAAADb8/0k=")</f>
        <v>#REF!</v>
      </c>
      <c r="BW5" t="e">
        <f>AND(#REF!,"AAAAADb8/0o=")</f>
        <v>#REF!</v>
      </c>
      <c r="BX5" t="e">
        <f>AND(#REF!,"AAAAADb8/0s=")</f>
        <v>#REF!</v>
      </c>
      <c r="BY5" t="e">
        <f>AND(#REF!,"AAAAADb8/0w=")</f>
        <v>#REF!</v>
      </c>
      <c r="BZ5" t="e">
        <f>AND(#REF!,"AAAAADb8/00=")</f>
        <v>#REF!</v>
      </c>
      <c r="CA5" t="e">
        <f>AND(#REF!,"AAAAADb8/04=")</f>
        <v>#REF!</v>
      </c>
      <c r="CB5" t="e">
        <f>AND(#REF!,"AAAAADb8/08=")</f>
        <v>#REF!</v>
      </c>
      <c r="CC5" t="e">
        <f>IF(#REF!,"AAAAADb8/1A=",0)</f>
        <v>#REF!</v>
      </c>
      <c r="CD5" t="e">
        <f>AND(#REF!,"AAAAADb8/1E=")</f>
        <v>#REF!</v>
      </c>
      <c r="CE5" t="e">
        <f>AND(#REF!,"AAAAADb8/1I=")</f>
        <v>#REF!</v>
      </c>
      <c r="CF5" t="e">
        <f>AND(#REF!,"AAAAADb8/1M=")</f>
        <v>#REF!</v>
      </c>
      <c r="CG5" t="e">
        <f>AND(#REF!,"AAAAADb8/1Q=")</f>
        <v>#REF!</v>
      </c>
      <c r="CH5" t="e">
        <f>AND(#REF!,"AAAAADb8/1U=")</f>
        <v>#REF!</v>
      </c>
      <c r="CI5" t="e">
        <f>AND(#REF!,"AAAAADb8/1Y=")</f>
        <v>#REF!</v>
      </c>
      <c r="CJ5" t="e">
        <f>AND(#REF!,"AAAAADb8/1c=")</f>
        <v>#REF!</v>
      </c>
      <c r="CK5" t="e">
        <f>IF(#REF!,"AAAAADb8/1g=",0)</f>
        <v>#REF!</v>
      </c>
      <c r="CL5" t="e">
        <f>AND(#REF!,"AAAAADb8/1k=")</f>
        <v>#REF!</v>
      </c>
      <c r="CM5" t="e">
        <f>AND(#REF!,"AAAAADb8/1o=")</f>
        <v>#REF!</v>
      </c>
      <c r="CN5" t="e">
        <f>AND(#REF!,"AAAAADb8/1s=")</f>
        <v>#REF!</v>
      </c>
      <c r="CO5" t="e">
        <f>AND(#REF!,"AAAAADb8/1w=")</f>
        <v>#REF!</v>
      </c>
      <c r="CP5" t="e">
        <f>AND(#REF!,"AAAAADb8/10=")</f>
        <v>#REF!</v>
      </c>
      <c r="CQ5" t="e">
        <f>AND(#REF!,"AAAAADb8/14=")</f>
        <v>#REF!</v>
      </c>
      <c r="CR5" t="e">
        <f>AND(#REF!,"AAAAADb8/18=")</f>
        <v>#REF!</v>
      </c>
      <c r="CS5" t="e">
        <f>IF(#REF!,"AAAAADb8/2A=",0)</f>
        <v>#REF!</v>
      </c>
      <c r="CT5" t="e">
        <f>AND(#REF!,"AAAAADb8/2E=")</f>
        <v>#REF!</v>
      </c>
      <c r="CU5" t="e">
        <f>AND(#REF!,"AAAAADb8/2I=")</f>
        <v>#REF!</v>
      </c>
      <c r="CV5" t="e">
        <f>AND(#REF!,"AAAAADb8/2M=")</f>
        <v>#REF!</v>
      </c>
      <c r="CW5" t="e">
        <f>AND(#REF!,"AAAAADb8/2Q=")</f>
        <v>#REF!</v>
      </c>
      <c r="CX5" t="e">
        <f>AND(#REF!,"AAAAADb8/2U=")</f>
        <v>#REF!</v>
      </c>
      <c r="CY5" t="e">
        <f>AND(#REF!,"AAAAADb8/2Y=")</f>
        <v>#REF!</v>
      </c>
      <c r="CZ5" t="e">
        <f>AND(#REF!,"AAAAADb8/2c=")</f>
        <v>#REF!</v>
      </c>
      <c r="DA5" t="e">
        <f>IF(#REF!,"AAAAADb8/2g=",0)</f>
        <v>#REF!</v>
      </c>
      <c r="DB5" t="e">
        <f>AND(#REF!,"AAAAADb8/2k=")</f>
        <v>#REF!</v>
      </c>
      <c r="DC5" t="e">
        <f>AND(#REF!,"AAAAADb8/2o=")</f>
        <v>#REF!</v>
      </c>
      <c r="DD5" t="e">
        <f>AND(#REF!,"AAAAADb8/2s=")</f>
        <v>#REF!</v>
      </c>
      <c r="DE5" t="e">
        <f>AND(#REF!,"AAAAADb8/2w=")</f>
        <v>#REF!</v>
      </c>
      <c r="DF5" t="e">
        <f>AND(#REF!,"AAAAADb8/20=")</f>
        <v>#REF!</v>
      </c>
      <c r="DG5" t="e">
        <f>AND(#REF!,"AAAAADb8/24=")</f>
        <v>#REF!</v>
      </c>
      <c r="DH5" t="e">
        <f>AND(#REF!,"AAAAADb8/28=")</f>
        <v>#REF!</v>
      </c>
      <c r="DI5" t="e">
        <f>IF(#REF!,"AAAAADb8/3A=",0)</f>
        <v>#REF!</v>
      </c>
      <c r="DJ5" t="e">
        <f>AND(#REF!,"AAAAADb8/3E=")</f>
        <v>#REF!</v>
      </c>
      <c r="DK5" t="e">
        <f>AND(#REF!,"AAAAADb8/3I=")</f>
        <v>#REF!</v>
      </c>
      <c r="DL5" t="e">
        <f>AND(#REF!,"AAAAADb8/3M=")</f>
        <v>#REF!</v>
      </c>
      <c r="DM5" t="e">
        <f>AND(#REF!,"AAAAADb8/3Q=")</f>
        <v>#REF!</v>
      </c>
      <c r="DN5" t="e">
        <f>AND(#REF!,"AAAAADb8/3U=")</f>
        <v>#REF!</v>
      </c>
      <c r="DO5" t="e">
        <f>AND(#REF!,"AAAAADb8/3Y=")</f>
        <v>#REF!</v>
      </c>
      <c r="DP5" t="e">
        <f>AND(#REF!,"AAAAADb8/3c=")</f>
        <v>#REF!</v>
      </c>
      <c r="DQ5" t="e">
        <f>IF(#REF!,"AAAAADb8/3g=",0)</f>
        <v>#REF!</v>
      </c>
      <c r="DR5" t="e">
        <f>AND(#REF!,"AAAAADb8/3k=")</f>
        <v>#REF!</v>
      </c>
      <c r="DS5" t="e">
        <f>AND(#REF!,"AAAAADb8/3o=")</f>
        <v>#REF!</v>
      </c>
      <c r="DT5" t="e">
        <f>AND(#REF!,"AAAAADb8/3s=")</f>
        <v>#REF!</v>
      </c>
      <c r="DU5" t="e">
        <f>AND(#REF!,"AAAAADb8/3w=")</f>
        <v>#REF!</v>
      </c>
      <c r="DV5" t="e">
        <f>AND(#REF!,"AAAAADb8/30=")</f>
        <v>#REF!</v>
      </c>
      <c r="DW5" t="e">
        <f>AND(#REF!,"AAAAADb8/34=")</f>
        <v>#REF!</v>
      </c>
      <c r="DX5" t="e">
        <f>AND(#REF!,"AAAAADb8/38=")</f>
        <v>#REF!</v>
      </c>
      <c r="DY5" t="e">
        <f>IF(#REF!,"AAAAADb8/4A=",0)</f>
        <v>#REF!</v>
      </c>
      <c r="DZ5" t="e">
        <f>AND(#REF!,"AAAAADb8/4E=")</f>
        <v>#REF!</v>
      </c>
      <c r="EA5" t="e">
        <f>AND(#REF!,"AAAAADb8/4I=")</f>
        <v>#REF!</v>
      </c>
      <c r="EB5" t="e">
        <f>AND(#REF!,"AAAAADb8/4M=")</f>
        <v>#REF!</v>
      </c>
      <c r="EC5" t="e">
        <f>AND(#REF!,"AAAAADb8/4Q=")</f>
        <v>#REF!</v>
      </c>
      <c r="ED5" t="e">
        <f>AND(#REF!,"AAAAADb8/4U=")</f>
        <v>#REF!</v>
      </c>
      <c r="EE5" t="e">
        <f>AND(#REF!,"AAAAADb8/4Y=")</f>
        <v>#REF!</v>
      </c>
      <c r="EF5" t="e">
        <f>AND(#REF!,"AAAAADb8/4c=")</f>
        <v>#REF!</v>
      </c>
      <c r="EG5" t="e">
        <f>IF(#REF!,"AAAAADb8/4g=",0)</f>
        <v>#REF!</v>
      </c>
      <c r="EH5" t="e">
        <f>AND(#REF!,"AAAAADb8/4k=")</f>
        <v>#REF!</v>
      </c>
      <c r="EI5" t="e">
        <f>AND(#REF!,"AAAAADb8/4o=")</f>
        <v>#REF!</v>
      </c>
      <c r="EJ5" t="e">
        <f>AND(#REF!,"AAAAADb8/4s=")</f>
        <v>#REF!</v>
      </c>
      <c r="EK5" t="e">
        <f>AND(#REF!,"AAAAADb8/4w=")</f>
        <v>#REF!</v>
      </c>
      <c r="EL5" t="e">
        <f>AND(#REF!,"AAAAADb8/40=")</f>
        <v>#REF!</v>
      </c>
      <c r="EM5" t="e">
        <f>AND(#REF!,"AAAAADb8/44=")</f>
        <v>#REF!</v>
      </c>
      <c r="EN5" t="e">
        <f>AND(#REF!,"AAAAADb8/48=")</f>
        <v>#REF!</v>
      </c>
      <c r="EO5" t="e">
        <f>IF(#REF!,"AAAAADb8/5A=",0)</f>
        <v>#REF!</v>
      </c>
      <c r="EP5" t="e">
        <f>AND(#REF!,"AAAAADb8/5E=")</f>
        <v>#REF!</v>
      </c>
      <c r="EQ5" t="e">
        <f>AND(#REF!,"AAAAADb8/5I=")</f>
        <v>#REF!</v>
      </c>
      <c r="ER5" t="e">
        <f>AND(#REF!,"AAAAADb8/5M=")</f>
        <v>#REF!</v>
      </c>
      <c r="ES5" t="e">
        <f>AND(#REF!,"AAAAADb8/5Q=")</f>
        <v>#REF!</v>
      </c>
      <c r="ET5" t="e">
        <f>AND(#REF!,"AAAAADb8/5U=")</f>
        <v>#REF!</v>
      </c>
      <c r="EU5" t="e">
        <f>AND(#REF!,"AAAAADb8/5Y=")</f>
        <v>#REF!</v>
      </c>
      <c r="EV5" t="e">
        <f>AND(#REF!,"AAAAADb8/5c=")</f>
        <v>#REF!</v>
      </c>
      <c r="EW5" t="e">
        <f>IF(#REF!,"AAAAADb8/5g=",0)</f>
        <v>#REF!</v>
      </c>
      <c r="EX5" t="e">
        <f>AND(#REF!,"AAAAADb8/5k=")</f>
        <v>#REF!</v>
      </c>
      <c r="EY5" t="e">
        <f>AND(#REF!,"AAAAADb8/5o=")</f>
        <v>#REF!</v>
      </c>
      <c r="EZ5" t="e">
        <f>AND(#REF!,"AAAAADb8/5s=")</f>
        <v>#REF!</v>
      </c>
      <c r="FA5" t="e">
        <f>AND(#REF!,"AAAAADb8/5w=")</f>
        <v>#REF!</v>
      </c>
      <c r="FB5" t="e">
        <f>AND(#REF!,"AAAAADb8/50=")</f>
        <v>#REF!</v>
      </c>
      <c r="FC5" t="e">
        <f>AND(#REF!,"AAAAADb8/54=")</f>
        <v>#REF!</v>
      </c>
      <c r="FD5" t="e">
        <f>AND(#REF!,"AAAAADb8/58=")</f>
        <v>#REF!</v>
      </c>
      <c r="FE5" t="e">
        <f>IF(#REF!,"AAAAADb8/6A=",0)</f>
        <v>#REF!</v>
      </c>
      <c r="FF5" t="e">
        <f>AND(#REF!,"AAAAADb8/6E=")</f>
        <v>#REF!</v>
      </c>
      <c r="FG5" t="e">
        <f>AND(#REF!,"AAAAADb8/6I=")</f>
        <v>#REF!</v>
      </c>
      <c r="FH5" t="e">
        <f>AND(#REF!,"AAAAADb8/6M=")</f>
        <v>#REF!</v>
      </c>
      <c r="FI5" t="e">
        <f>AND(#REF!,"AAAAADb8/6Q=")</f>
        <v>#REF!</v>
      </c>
      <c r="FJ5" t="e">
        <f>AND(#REF!,"AAAAADb8/6U=")</f>
        <v>#REF!</v>
      </c>
      <c r="FK5" t="e">
        <f>AND(#REF!,"AAAAADb8/6Y=")</f>
        <v>#REF!</v>
      </c>
      <c r="FL5" t="e">
        <f>AND(#REF!,"AAAAADb8/6c=")</f>
        <v>#REF!</v>
      </c>
      <c r="FM5" t="e">
        <f>IF(#REF!,"AAAAADb8/6g=",0)</f>
        <v>#REF!</v>
      </c>
      <c r="FN5" t="e">
        <f>AND(#REF!,"AAAAADb8/6k=")</f>
        <v>#REF!</v>
      </c>
      <c r="FO5" t="e">
        <f>AND(#REF!,"AAAAADb8/6o=")</f>
        <v>#REF!</v>
      </c>
      <c r="FP5" t="e">
        <f>AND(#REF!,"AAAAADb8/6s=")</f>
        <v>#REF!</v>
      </c>
      <c r="FQ5" t="e">
        <f>AND(#REF!,"AAAAADb8/6w=")</f>
        <v>#REF!</v>
      </c>
      <c r="FR5" t="e">
        <f>AND(#REF!,"AAAAADb8/60=")</f>
        <v>#REF!</v>
      </c>
      <c r="FS5" t="e">
        <f>AND(#REF!,"AAAAADb8/64=")</f>
        <v>#REF!</v>
      </c>
      <c r="FT5" t="e">
        <f>AND(#REF!,"AAAAADb8/68=")</f>
        <v>#REF!</v>
      </c>
      <c r="FU5" t="e">
        <f>IF(#REF!,"AAAAADb8/7A=",0)</f>
        <v>#REF!</v>
      </c>
      <c r="FV5" t="e">
        <f>AND(#REF!,"AAAAADb8/7E=")</f>
        <v>#REF!</v>
      </c>
      <c r="FW5" t="e">
        <f>AND(#REF!,"AAAAADb8/7I=")</f>
        <v>#REF!</v>
      </c>
      <c r="FX5" t="e">
        <f>AND(#REF!,"AAAAADb8/7M=")</f>
        <v>#REF!</v>
      </c>
      <c r="FY5" t="e">
        <f>AND(#REF!,"AAAAADb8/7Q=")</f>
        <v>#REF!</v>
      </c>
      <c r="FZ5" t="e">
        <f>AND(#REF!,"AAAAADb8/7U=")</f>
        <v>#REF!</v>
      </c>
      <c r="GA5" t="e">
        <f>AND(#REF!,"AAAAADb8/7Y=")</f>
        <v>#REF!</v>
      </c>
      <c r="GB5" t="e">
        <f>AND(#REF!,"AAAAADb8/7c=")</f>
        <v>#REF!</v>
      </c>
      <c r="GC5" t="e">
        <f>IF(#REF!,"AAAAADb8/7g=",0)</f>
        <v>#REF!</v>
      </c>
      <c r="GD5" t="e">
        <f>AND(#REF!,"AAAAADb8/7k=")</f>
        <v>#REF!</v>
      </c>
      <c r="GE5" t="e">
        <f>AND(#REF!,"AAAAADb8/7o=")</f>
        <v>#REF!</v>
      </c>
      <c r="GF5" t="e">
        <f>AND(#REF!,"AAAAADb8/7s=")</f>
        <v>#REF!</v>
      </c>
      <c r="GG5" t="e">
        <f>AND(#REF!,"AAAAADb8/7w=")</f>
        <v>#REF!</v>
      </c>
      <c r="GH5" t="e">
        <f>AND(#REF!,"AAAAADb8/70=")</f>
        <v>#REF!</v>
      </c>
      <c r="GI5" t="e">
        <f>AND(#REF!,"AAAAADb8/74=")</f>
        <v>#REF!</v>
      </c>
      <c r="GJ5" t="e">
        <f>AND(#REF!,"AAAAADb8/78=")</f>
        <v>#REF!</v>
      </c>
      <c r="GK5" t="e">
        <f>IF(#REF!,"AAAAADb8/8A=",0)</f>
        <v>#REF!</v>
      </c>
      <c r="GL5" t="e">
        <f>AND(#REF!,"AAAAADb8/8E=")</f>
        <v>#REF!</v>
      </c>
      <c r="GM5" t="e">
        <f>AND(#REF!,"AAAAADb8/8I=")</f>
        <v>#REF!</v>
      </c>
      <c r="GN5" t="e">
        <f>AND(#REF!,"AAAAADb8/8M=")</f>
        <v>#REF!</v>
      </c>
      <c r="GO5" t="e">
        <f>AND(#REF!,"AAAAADb8/8Q=")</f>
        <v>#REF!</v>
      </c>
      <c r="GP5" t="e">
        <f>AND(#REF!,"AAAAADb8/8U=")</f>
        <v>#REF!</v>
      </c>
      <c r="GQ5" t="e">
        <f>AND(#REF!,"AAAAADb8/8Y=")</f>
        <v>#REF!</v>
      </c>
      <c r="GR5" t="e">
        <f>AND(#REF!,"AAAAADb8/8c=")</f>
        <v>#REF!</v>
      </c>
      <c r="GS5" t="e">
        <f>IF(#REF!,"AAAAADb8/8g=",0)</f>
        <v>#REF!</v>
      </c>
      <c r="GT5" t="e">
        <f>AND(#REF!,"AAAAADb8/8k=")</f>
        <v>#REF!</v>
      </c>
      <c r="GU5" t="e">
        <f>AND(#REF!,"AAAAADb8/8o=")</f>
        <v>#REF!</v>
      </c>
      <c r="GV5" t="e">
        <f>AND(#REF!,"AAAAADb8/8s=")</f>
        <v>#REF!</v>
      </c>
      <c r="GW5" t="e">
        <f>AND(#REF!,"AAAAADb8/8w=")</f>
        <v>#REF!</v>
      </c>
      <c r="GX5" t="e">
        <f>AND(#REF!,"AAAAADb8/80=")</f>
        <v>#REF!</v>
      </c>
      <c r="GY5" t="e">
        <f>AND(#REF!,"AAAAADb8/84=")</f>
        <v>#REF!</v>
      </c>
      <c r="GZ5" t="e">
        <f>AND(#REF!,"AAAAADb8/88=")</f>
        <v>#REF!</v>
      </c>
      <c r="HA5" t="e">
        <f>IF(#REF!,"AAAAADb8/9A=",0)</f>
        <v>#REF!</v>
      </c>
      <c r="HB5" t="e">
        <f>AND(#REF!,"AAAAADb8/9E=")</f>
        <v>#REF!</v>
      </c>
      <c r="HC5" t="e">
        <f>AND(#REF!,"AAAAADb8/9I=")</f>
        <v>#REF!</v>
      </c>
      <c r="HD5" t="e">
        <f>AND(#REF!,"AAAAADb8/9M=")</f>
        <v>#REF!</v>
      </c>
      <c r="HE5" t="e">
        <f>AND(#REF!,"AAAAADb8/9Q=")</f>
        <v>#REF!</v>
      </c>
      <c r="HF5" t="e">
        <f>AND(#REF!,"AAAAADb8/9U=")</f>
        <v>#REF!</v>
      </c>
      <c r="HG5" t="e">
        <f>AND(#REF!,"AAAAADb8/9Y=")</f>
        <v>#REF!</v>
      </c>
      <c r="HH5" t="e">
        <f>AND(#REF!,"AAAAADb8/9c=")</f>
        <v>#REF!</v>
      </c>
      <c r="HI5" t="e">
        <f>IF(#REF!,"AAAAADb8/9g=",0)</f>
        <v>#REF!</v>
      </c>
      <c r="HJ5" t="e">
        <f>AND(#REF!,"AAAAADb8/9k=")</f>
        <v>#REF!</v>
      </c>
      <c r="HK5" t="e">
        <f>AND(#REF!,"AAAAADb8/9o=")</f>
        <v>#REF!</v>
      </c>
      <c r="HL5" t="e">
        <f>AND(#REF!,"AAAAADb8/9s=")</f>
        <v>#REF!</v>
      </c>
      <c r="HM5" t="e">
        <f>AND(#REF!,"AAAAADb8/9w=")</f>
        <v>#REF!</v>
      </c>
      <c r="HN5" t="e">
        <f>AND(#REF!,"AAAAADb8/90=")</f>
        <v>#REF!</v>
      </c>
      <c r="HO5" t="e">
        <f>AND(#REF!,"AAAAADb8/94=")</f>
        <v>#REF!</v>
      </c>
      <c r="HP5" t="e">
        <f>AND(#REF!,"AAAAADb8/98=")</f>
        <v>#REF!</v>
      </c>
      <c r="HQ5" t="e">
        <f>IF(#REF!,"AAAAADb8/+A=",0)</f>
        <v>#REF!</v>
      </c>
      <c r="HR5" t="e">
        <f>AND(#REF!,"AAAAADb8/+E=")</f>
        <v>#REF!</v>
      </c>
      <c r="HS5" t="e">
        <f>AND(#REF!,"AAAAADb8/+I=")</f>
        <v>#REF!</v>
      </c>
      <c r="HT5" t="e">
        <f>AND(#REF!,"AAAAADb8/+M=")</f>
        <v>#REF!</v>
      </c>
      <c r="HU5" t="e">
        <f>AND(#REF!,"AAAAADb8/+Q=")</f>
        <v>#REF!</v>
      </c>
      <c r="HV5" t="e">
        <f>AND(#REF!,"AAAAADb8/+U=")</f>
        <v>#REF!</v>
      </c>
      <c r="HW5" t="e">
        <f>AND(#REF!,"AAAAADb8/+Y=")</f>
        <v>#REF!</v>
      </c>
      <c r="HX5" t="e">
        <f>AND(#REF!,"AAAAADb8/+c=")</f>
        <v>#REF!</v>
      </c>
      <c r="HY5" t="e">
        <f>IF(#REF!,"AAAAADb8/+g=",0)</f>
        <v>#REF!</v>
      </c>
      <c r="HZ5" t="e">
        <f>AND(#REF!,"AAAAADb8/+k=")</f>
        <v>#REF!</v>
      </c>
      <c r="IA5" t="e">
        <f>AND(#REF!,"AAAAADb8/+o=")</f>
        <v>#REF!</v>
      </c>
      <c r="IB5" t="e">
        <f>AND(#REF!,"AAAAADb8/+s=")</f>
        <v>#REF!</v>
      </c>
      <c r="IC5" t="e">
        <f>AND(#REF!,"AAAAADb8/+w=")</f>
        <v>#REF!</v>
      </c>
      <c r="ID5" t="e">
        <f>AND(#REF!,"AAAAADb8/+0=")</f>
        <v>#REF!</v>
      </c>
      <c r="IE5" t="e">
        <f>AND(#REF!,"AAAAADb8/+4=")</f>
        <v>#REF!</v>
      </c>
      <c r="IF5" t="e">
        <f>AND(#REF!,"AAAAADb8/+8=")</f>
        <v>#REF!</v>
      </c>
      <c r="IG5" t="e">
        <f>IF(#REF!,"AAAAADb8//A=",0)</f>
        <v>#REF!</v>
      </c>
      <c r="IH5" t="e">
        <f>AND(#REF!,"AAAAADb8//E=")</f>
        <v>#REF!</v>
      </c>
      <c r="II5" t="e">
        <f>AND(#REF!,"AAAAADb8//I=")</f>
        <v>#REF!</v>
      </c>
      <c r="IJ5" t="e">
        <f>AND(#REF!,"AAAAADb8//M=")</f>
        <v>#REF!</v>
      </c>
      <c r="IK5" t="e">
        <f>AND(#REF!,"AAAAADb8//Q=")</f>
        <v>#REF!</v>
      </c>
      <c r="IL5" t="e">
        <f>AND(#REF!,"AAAAADb8//U=")</f>
        <v>#REF!</v>
      </c>
      <c r="IM5" t="e">
        <f>AND(#REF!,"AAAAADb8//Y=")</f>
        <v>#REF!</v>
      </c>
      <c r="IN5" t="e">
        <f>AND(#REF!,"AAAAADb8//c=")</f>
        <v>#REF!</v>
      </c>
      <c r="IO5" t="e">
        <f>IF(#REF!,"AAAAADb8//g=",0)</f>
        <v>#REF!</v>
      </c>
      <c r="IP5" t="e">
        <f>AND(#REF!,"AAAAADb8//k=")</f>
        <v>#REF!</v>
      </c>
      <c r="IQ5" t="e">
        <f>AND(#REF!,"AAAAADb8//o=")</f>
        <v>#REF!</v>
      </c>
      <c r="IR5" t="e">
        <f>AND(#REF!,"AAAAADb8//s=")</f>
        <v>#REF!</v>
      </c>
      <c r="IS5" t="e">
        <f>AND(#REF!,"AAAAADb8//w=")</f>
        <v>#REF!</v>
      </c>
      <c r="IT5" t="e">
        <f>AND(#REF!,"AAAAADb8//0=")</f>
        <v>#REF!</v>
      </c>
      <c r="IU5" t="e">
        <f>AND(#REF!,"AAAAADb8//4=")</f>
        <v>#REF!</v>
      </c>
      <c r="IV5" t="e">
        <f>AND(#REF!,"AAAAADb8//8=")</f>
        <v>#REF!</v>
      </c>
    </row>
    <row r="6" spans="1:256" ht="15">
      <c r="A6" t="e">
        <f>IF(#REF!,"AAAAABFuuwA=",0)</f>
        <v>#REF!</v>
      </c>
      <c r="B6" t="e">
        <f>AND(#REF!,"AAAAABFuuwE=")</f>
        <v>#REF!</v>
      </c>
      <c r="C6" t="e">
        <f>AND(#REF!,"AAAAABFuuwI=")</f>
        <v>#REF!</v>
      </c>
      <c r="D6" t="e">
        <f>AND(#REF!,"AAAAABFuuwM=")</f>
        <v>#REF!</v>
      </c>
      <c r="E6" t="e">
        <f>AND(#REF!,"AAAAABFuuwQ=")</f>
        <v>#REF!</v>
      </c>
      <c r="F6" t="e">
        <f>AND(#REF!,"AAAAABFuuwU=")</f>
        <v>#REF!</v>
      </c>
      <c r="G6" t="e">
        <f>AND(#REF!,"AAAAABFuuwY=")</f>
        <v>#REF!</v>
      </c>
      <c r="H6" t="e">
        <f>AND(#REF!,"AAAAABFuuwc=")</f>
        <v>#REF!</v>
      </c>
      <c r="I6" t="e">
        <f>IF(#REF!,"AAAAABFuuwg=",0)</f>
        <v>#REF!</v>
      </c>
      <c r="J6" t="e">
        <f>AND(#REF!,"AAAAABFuuwk=")</f>
        <v>#REF!</v>
      </c>
      <c r="K6" t="e">
        <f>AND(#REF!,"AAAAABFuuwo=")</f>
        <v>#REF!</v>
      </c>
      <c r="L6" t="e">
        <f>AND(#REF!,"AAAAABFuuws=")</f>
        <v>#REF!</v>
      </c>
      <c r="M6" t="e">
        <f>AND(#REF!,"AAAAABFuuww=")</f>
        <v>#REF!</v>
      </c>
      <c r="N6" t="e">
        <f>AND(#REF!,"AAAAABFuuw0=")</f>
        <v>#REF!</v>
      </c>
      <c r="O6" t="e">
        <f>AND(#REF!,"AAAAABFuuw4=")</f>
        <v>#REF!</v>
      </c>
      <c r="P6" t="e">
        <f>AND(#REF!,"AAAAABFuuw8=")</f>
        <v>#REF!</v>
      </c>
      <c r="Q6" t="e">
        <f>IF(#REF!,"AAAAABFuuxA=",0)</f>
        <v>#REF!</v>
      </c>
      <c r="R6" t="e">
        <f>AND(#REF!,"AAAAABFuuxE=")</f>
        <v>#REF!</v>
      </c>
      <c r="S6" t="e">
        <f>AND(#REF!,"AAAAABFuuxI=")</f>
        <v>#REF!</v>
      </c>
      <c r="T6" t="e">
        <f>AND(#REF!,"AAAAABFuuxM=")</f>
        <v>#REF!</v>
      </c>
      <c r="U6" t="e">
        <f>AND(#REF!,"AAAAABFuuxQ=")</f>
        <v>#REF!</v>
      </c>
      <c r="V6" t="e">
        <f>AND(#REF!,"AAAAABFuuxU=")</f>
        <v>#REF!</v>
      </c>
      <c r="W6" t="e">
        <f>AND(#REF!,"AAAAABFuuxY=")</f>
        <v>#REF!</v>
      </c>
      <c r="X6" t="e">
        <f>AND(#REF!,"AAAAABFuuxc=")</f>
        <v>#REF!</v>
      </c>
      <c r="Y6" t="e">
        <f>IF(#REF!,"AAAAABFuuxg=",0)</f>
        <v>#REF!</v>
      </c>
      <c r="Z6" t="e">
        <f>AND(#REF!,"AAAAABFuuxk=")</f>
        <v>#REF!</v>
      </c>
      <c r="AA6" t="e">
        <f>AND(#REF!,"AAAAABFuuxo=")</f>
        <v>#REF!</v>
      </c>
      <c r="AB6" t="e">
        <f>AND(#REF!,"AAAAABFuuxs=")</f>
        <v>#REF!</v>
      </c>
      <c r="AC6" t="e">
        <f>AND(#REF!,"AAAAABFuuxw=")</f>
        <v>#REF!</v>
      </c>
      <c r="AD6" t="e">
        <f>AND(#REF!,"AAAAABFuux0=")</f>
        <v>#REF!</v>
      </c>
      <c r="AE6" t="e">
        <f>AND(#REF!,"AAAAABFuux4=")</f>
        <v>#REF!</v>
      </c>
      <c r="AF6" t="e">
        <f>AND(#REF!,"AAAAABFuux8=")</f>
        <v>#REF!</v>
      </c>
      <c r="AG6" t="e">
        <f>IF(#REF!,"AAAAABFuuyA=",0)</f>
        <v>#REF!</v>
      </c>
      <c r="AH6" t="e">
        <f>AND(#REF!,"AAAAABFuuyE=")</f>
        <v>#REF!</v>
      </c>
      <c r="AI6" t="e">
        <f>AND(#REF!,"AAAAABFuuyI=")</f>
        <v>#REF!</v>
      </c>
      <c r="AJ6" t="e">
        <f>AND(#REF!,"AAAAABFuuyM=")</f>
        <v>#REF!</v>
      </c>
      <c r="AK6" t="e">
        <f>AND(#REF!,"AAAAABFuuyQ=")</f>
        <v>#REF!</v>
      </c>
      <c r="AL6" t="e">
        <f>AND(#REF!,"AAAAABFuuyU=")</f>
        <v>#REF!</v>
      </c>
      <c r="AM6" t="e">
        <f>AND(#REF!,"AAAAABFuuyY=")</f>
        <v>#REF!</v>
      </c>
      <c r="AN6" t="e">
        <f>AND(#REF!,"AAAAABFuuyc=")</f>
        <v>#REF!</v>
      </c>
      <c r="AO6" t="e">
        <f>IF(#REF!,"AAAAABFuuyg=",0)</f>
        <v>#REF!</v>
      </c>
      <c r="AP6" t="e">
        <f>AND(#REF!,"AAAAABFuuyk=")</f>
        <v>#REF!</v>
      </c>
      <c r="AQ6" t="e">
        <f>AND(#REF!,"AAAAABFuuyo=")</f>
        <v>#REF!</v>
      </c>
      <c r="AR6" t="e">
        <f>AND(#REF!,"AAAAABFuuys=")</f>
        <v>#REF!</v>
      </c>
      <c r="AS6" t="e">
        <f>AND(#REF!,"AAAAABFuuyw=")</f>
        <v>#REF!</v>
      </c>
      <c r="AT6" t="e">
        <f>AND(#REF!,"AAAAABFuuy0=")</f>
        <v>#REF!</v>
      </c>
      <c r="AU6" t="e">
        <f>AND(#REF!,"AAAAABFuuy4=")</f>
        <v>#REF!</v>
      </c>
      <c r="AV6" t="e">
        <f>AND(#REF!,"AAAAABFuuy8=")</f>
        <v>#REF!</v>
      </c>
      <c r="AW6" t="e">
        <f>IF(#REF!,"AAAAABFuuzA=",0)</f>
        <v>#REF!</v>
      </c>
      <c r="AX6" t="e">
        <f>AND(#REF!,"AAAAABFuuzE=")</f>
        <v>#REF!</v>
      </c>
      <c r="AY6" t="e">
        <f>AND(#REF!,"AAAAABFuuzI=")</f>
        <v>#REF!</v>
      </c>
      <c r="AZ6" t="e">
        <f>AND(#REF!,"AAAAABFuuzM=")</f>
        <v>#REF!</v>
      </c>
      <c r="BA6" t="e">
        <f>AND(#REF!,"AAAAABFuuzQ=")</f>
        <v>#REF!</v>
      </c>
      <c r="BB6" t="e">
        <f>AND(#REF!,"AAAAABFuuzU=")</f>
        <v>#REF!</v>
      </c>
      <c r="BC6" t="e">
        <f>AND(#REF!,"AAAAABFuuzY=")</f>
        <v>#REF!</v>
      </c>
      <c r="BD6" t="e">
        <f>AND(#REF!,"AAAAABFuuzc=")</f>
        <v>#REF!</v>
      </c>
      <c r="BE6" t="e">
        <f>IF(#REF!,"AAAAABFuuzg=",0)</f>
        <v>#REF!</v>
      </c>
      <c r="BF6" t="e">
        <f>AND(#REF!,"AAAAABFuuzk=")</f>
        <v>#REF!</v>
      </c>
      <c r="BG6" t="e">
        <f>AND(#REF!,"AAAAABFuuzo=")</f>
        <v>#REF!</v>
      </c>
      <c r="BH6" t="e">
        <f>AND(#REF!,"AAAAABFuuzs=")</f>
        <v>#REF!</v>
      </c>
      <c r="BI6" t="e">
        <f>AND(#REF!,"AAAAABFuuzw=")</f>
        <v>#REF!</v>
      </c>
      <c r="BJ6" t="e">
        <f>AND(#REF!,"AAAAABFuuz0=")</f>
        <v>#REF!</v>
      </c>
      <c r="BK6" t="e">
        <f>AND(#REF!,"AAAAABFuuz4=")</f>
        <v>#REF!</v>
      </c>
      <c r="BL6" t="e">
        <f>AND(#REF!,"AAAAABFuuz8=")</f>
        <v>#REF!</v>
      </c>
      <c r="BM6" t="e">
        <f>IF(#REF!,"AAAAABFuu0A=",0)</f>
        <v>#REF!</v>
      </c>
      <c r="BN6" t="e">
        <f>AND(#REF!,"AAAAABFuu0E=")</f>
        <v>#REF!</v>
      </c>
      <c r="BO6" t="e">
        <f>AND(#REF!,"AAAAABFuu0I=")</f>
        <v>#REF!</v>
      </c>
      <c r="BP6" t="e">
        <f>AND(#REF!,"AAAAABFuu0M=")</f>
        <v>#REF!</v>
      </c>
      <c r="BQ6" t="e">
        <f>AND(#REF!,"AAAAABFuu0Q=")</f>
        <v>#REF!</v>
      </c>
      <c r="BR6" t="e">
        <f>AND(#REF!,"AAAAABFuu0U=")</f>
        <v>#REF!</v>
      </c>
      <c r="BS6" t="e">
        <f>AND(#REF!,"AAAAABFuu0Y=")</f>
        <v>#REF!</v>
      </c>
      <c r="BT6" t="e">
        <f>AND(#REF!,"AAAAABFuu0c=")</f>
        <v>#REF!</v>
      </c>
      <c r="BU6" t="e">
        <f>IF(#REF!,"AAAAABFuu0g=",0)</f>
        <v>#REF!</v>
      </c>
      <c r="BV6" t="e">
        <f>AND(#REF!,"AAAAABFuu0k=")</f>
        <v>#REF!</v>
      </c>
      <c r="BW6" t="e">
        <f>AND(#REF!,"AAAAABFuu0o=")</f>
        <v>#REF!</v>
      </c>
      <c r="BX6" t="e">
        <f>AND(#REF!,"AAAAABFuu0s=")</f>
        <v>#REF!</v>
      </c>
      <c r="BY6" t="e">
        <f>AND(#REF!,"AAAAABFuu0w=")</f>
        <v>#REF!</v>
      </c>
      <c r="BZ6" t="e">
        <f>AND(#REF!,"AAAAABFuu00=")</f>
        <v>#REF!</v>
      </c>
      <c r="CA6" t="e">
        <f>AND(#REF!,"AAAAABFuu04=")</f>
        <v>#REF!</v>
      </c>
      <c r="CB6" t="e">
        <f>AND(#REF!,"AAAAABFuu08=")</f>
        <v>#REF!</v>
      </c>
      <c r="CC6" t="e">
        <f>IF(#REF!,"AAAAABFuu1A=",0)</f>
        <v>#REF!</v>
      </c>
      <c r="CD6" t="e">
        <f>AND(#REF!,"AAAAABFuu1E=")</f>
        <v>#REF!</v>
      </c>
      <c r="CE6" t="e">
        <f>AND(#REF!,"AAAAABFuu1I=")</f>
        <v>#REF!</v>
      </c>
      <c r="CF6" t="e">
        <f>AND(#REF!,"AAAAABFuu1M=")</f>
        <v>#REF!</v>
      </c>
      <c r="CG6" t="e">
        <f>AND(#REF!,"AAAAABFuu1Q=")</f>
        <v>#REF!</v>
      </c>
      <c r="CH6" t="e">
        <f>AND(#REF!,"AAAAABFuu1U=")</f>
        <v>#REF!</v>
      </c>
      <c r="CI6" t="e">
        <f>AND(#REF!,"AAAAABFuu1Y=")</f>
        <v>#REF!</v>
      </c>
      <c r="CJ6" t="e">
        <f>AND(#REF!,"AAAAABFuu1c=")</f>
        <v>#REF!</v>
      </c>
      <c r="CK6" t="e">
        <f>IF(#REF!,"AAAAABFuu1g=",0)</f>
        <v>#REF!</v>
      </c>
      <c r="CL6" t="e">
        <f>AND(#REF!,"AAAAABFuu1k=")</f>
        <v>#REF!</v>
      </c>
      <c r="CM6" t="e">
        <f>AND(#REF!,"AAAAABFuu1o=")</f>
        <v>#REF!</v>
      </c>
      <c r="CN6" t="e">
        <f>AND(#REF!,"AAAAABFuu1s=")</f>
        <v>#REF!</v>
      </c>
      <c r="CO6" t="e">
        <f>AND(#REF!,"AAAAABFuu1w=")</f>
        <v>#REF!</v>
      </c>
      <c r="CP6" t="e">
        <f>AND(#REF!,"AAAAABFuu10=")</f>
        <v>#REF!</v>
      </c>
      <c r="CQ6" t="e">
        <f>AND(#REF!,"AAAAABFuu14=")</f>
        <v>#REF!</v>
      </c>
      <c r="CR6" t="e">
        <f>AND(#REF!,"AAAAABFuu18=")</f>
        <v>#REF!</v>
      </c>
      <c r="CS6" t="e">
        <f>IF(#REF!,"AAAAABFuu2A=",0)</f>
        <v>#REF!</v>
      </c>
      <c r="CT6" t="e">
        <f>AND(#REF!,"AAAAABFuu2E=")</f>
        <v>#REF!</v>
      </c>
      <c r="CU6" t="e">
        <f>AND(#REF!,"AAAAABFuu2I=")</f>
        <v>#REF!</v>
      </c>
      <c r="CV6" t="e">
        <f>AND(#REF!,"AAAAABFuu2M=")</f>
        <v>#REF!</v>
      </c>
      <c r="CW6" t="e">
        <f>AND(#REF!,"AAAAABFuu2Q=")</f>
        <v>#REF!</v>
      </c>
      <c r="CX6" t="e">
        <f>AND(#REF!,"AAAAABFuu2U=")</f>
        <v>#REF!</v>
      </c>
      <c r="CY6" t="e">
        <f>AND(#REF!,"AAAAABFuu2Y=")</f>
        <v>#REF!</v>
      </c>
      <c r="CZ6" t="e">
        <f>AND(#REF!,"AAAAABFuu2c=")</f>
        <v>#REF!</v>
      </c>
      <c r="DA6" t="e">
        <f>IF(#REF!,"AAAAABFuu2g=",0)</f>
        <v>#REF!</v>
      </c>
      <c r="DB6" t="e">
        <f>AND(#REF!,"AAAAABFuu2k=")</f>
        <v>#REF!</v>
      </c>
      <c r="DC6" t="e">
        <f>AND(#REF!,"AAAAABFuu2o=")</f>
        <v>#REF!</v>
      </c>
      <c r="DD6" t="e">
        <f>AND(#REF!,"AAAAABFuu2s=")</f>
        <v>#REF!</v>
      </c>
      <c r="DE6" t="e">
        <f>AND(#REF!,"AAAAABFuu2w=")</f>
        <v>#REF!</v>
      </c>
      <c r="DF6" t="e">
        <f>AND(#REF!,"AAAAABFuu20=")</f>
        <v>#REF!</v>
      </c>
      <c r="DG6" t="e">
        <f>AND(#REF!,"AAAAABFuu24=")</f>
        <v>#REF!</v>
      </c>
      <c r="DH6" t="e">
        <f>AND(#REF!,"AAAAABFuu28=")</f>
        <v>#REF!</v>
      </c>
      <c r="DI6" t="e">
        <f>IF(#REF!,"AAAAABFuu3A=",0)</f>
        <v>#REF!</v>
      </c>
      <c r="DJ6" t="e">
        <f>AND(#REF!,"AAAAABFuu3E=")</f>
        <v>#REF!</v>
      </c>
      <c r="DK6" t="e">
        <f>AND(#REF!,"AAAAABFuu3I=")</f>
        <v>#REF!</v>
      </c>
      <c r="DL6" t="e">
        <f>AND(#REF!,"AAAAABFuu3M=")</f>
        <v>#REF!</v>
      </c>
      <c r="DM6" t="e">
        <f>AND(#REF!,"AAAAABFuu3Q=")</f>
        <v>#REF!</v>
      </c>
      <c r="DN6" t="e">
        <f>AND(#REF!,"AAAAABFuu3U=")</f>
        <v>#REF!</v>
      </c>
      <c r="DO6" t="e">
        <f>AND(#REF!,"AAAAABFuu3Y=")</f>
        <v>#REF!</v>
      </c>
      <c r="DP6" t="e">
        <f>AND(#REF!,"AAAAABFuu3c=")</f>
        <v>#REF!</v>
      </c>
      <c r="DQ6" t="e">
        <f>IF(#REF!,"AAAAABFuu3g=",0)</f>
        <v>#REF!</v>
      </c>
      <c r="DR6" t="e">
        <f>AND(#REF!,"AAAAABFuu3k=")</f>
        <v>#REF!</v>
      </c>
      <c r="DS6" t="e">
        <f>AND(#REF!,"AAAAABFuu3o=")</f>
        <v>#REF!</v>
      </c>
      <c r="DT6" t="e">
        <f>AND(#REF!,"AAAAABFuu3s=")</f>
        <v>#REF!</v>
      </c>
      <c r="DU6" t="e">
        <f>AND(#REF!,"AAAAABFuu3w=")</f>
        <v>#REF!</v>
      </c>
      <c r="DV6" t="e">
        <f>AND(#REF!,"AAAAABFuu30=")</f>
        <v>#REF!</v>
      </c>
      <c r="DW6" t="e">
        <f>AND(#REF!,"AAAAABFuu34=")</f>
        <v>#REF!</v>
      </c>
      <c r="DX6" t="e">
        <f>AND(#REF!,"AAAAABFuu38=")</f>
        <v>#REF!</v>
      </c>
      <c r="DY6" t="e">
        <f>IF(#REF!,"AAAAABFuu4A=",0)</f>
        <v>#REF!</v>
      </c>
      <c r="DZ6" t="e">
        <f>AND(#REF!,"AAAAABFuu4E=")</f>
        <v>#REF!</v>
      </c>
      <c r="EA6" t="e">
        <f>AND(#REF!,"AAAAABFuu4I=")</f>
        <v>#REF!</v>
      </c>
      <c r="EB6" t="e">
        <f>AND(#REF!,"AAAAABFuu4M=")</f>
        <v>#REF!</v>
      </c>
      <c r="EC6" t="e">
        <f>AND(#REF!,"AAAAABFuu4Q=")</f>
        <v>#REF!</v>
      </c>
      <c r="ED6" t="e">
        <f>AND(#REF!,"AAAAABFuu4U=")</f>
        <v>#REF!</v>
      </c>
      <c r="EE6" t="e">
        <f>AND(#REF!,"AAAAABFuu4Y=")</f>
        <v>#REF!</v>
      </c>
      <c r="EF6" t="e">
        <f>AND(#REF!,"AAAAABFuu4c=")</f>
        <v>#REF!</v>
      </c>
      <c r="EG6" t="e">
        <f>IF(#REF!,"AAAAABFuu4g=",0)</f>
        <v>#REF!</v>
      </c>
      <c r="EH6" t="e">
        <f>AND(#REF!,"AAAAABFuu4k=")</f>
        <v>#REF!</v>
      </c>
      <c r="EI6" t="e">
        <f>AND(#REF!,"AAAAABFuu4o=")</f>
        <v>#REF!</v>
      </c>
      <c r="EJ6" t="e">
        <f>AND(#REF!,"AAAAABFuu4s=")</f>
        <v>#REF!</v>
      </c>
      <c r="EK6" t="e">
        <f>AND(#REF!,"AAAAABFuu4w=")</f>
        <v>#REF!</v>
      </c>
      <c r="EL6" t="e">
        <f>AND(#REF!,"AAAAABFuu40=")</f>
        <v>#REF!</v>
      </c>
      <c r="EM6" t="e">
        <f>AND(#REF!,"AAAAABFuu44=")</f>
        <v>#REF!</v>
      </c>
      <c r="EN6" t="e">
        <f>AND(#REF!,"AAAAABFuu48=")</f>
        <v>#REF!</v>
      </c>
      <c r="EO6" t="e">
        <f>IF(#REF!,"AAAAABFuu5A=",0)</f>
        <v>#REF!</v>
      </c>
      <c r="EP6" t="e">
        <f>AND(#REF!,"AAAAABFuu5E=")</f>
        <v>#REF!</v>
      </c>
      <c r="EQ6" t="e">
        <f>AND(#REF!,"AAAAABFuu5I=")</f>
        <v>#REF!</v>
      </c>
      <c r="ER6" t="e">
        <f>AND(#REF!,"AAAAABFuu5M=")</f>
        <v>#REF!</v>
      </c>
      <c r="ES6" t="e">
        <f>AND(#REF!,"AAAAABFuu5Q=")</f>
        <v>#REF!</v>
      </c>
      <c r="ET6" t="e">
        <f>AND(#REF!,"AAAAABFuu5U=")</f>
        <v>#REF!</v>
      </c>
      <c r="EU6" t="e">
        <f>AND(#REF!,"AAAAABFuu5Y=")</f>
        <v>#REF!</v>
      </c>
      <c r="EV6" t="e">
        <f>AND(#REF!,"AAAAABFuu5c=")</f>
        <v>#REF!</v>
      </c>
      <c r="EW6" t="e">
        <f>IF(#REF!,"AAAAABFuu5g=",0)</f>
        <v>#REF!</v>
      </c>
      <c r="EX6" t="e">
        <f>AND(#REF!,"AAAAABFuu5k=")</f>
        <v>#REF!</v>
      </c>
      <c r="EY6" t="e">
        <f>AND(#REF!,"AAAAABFuu5o=")</f>
        <v>#REF!</v>
      </c>
      <c r="EZ6" t="e">
        <f>AND(#REF!,"AAAAABFuu5s=")</f>
        <v>#REF!</v>
      </c>
      <c r="FA6" t="e">
        <f>AND(#REF!,"AAAAABFuu5w=")</f>
        <v>#REF!</v>
      </c>
      <c r="FB6" t="e">
        <f>AND(#REF!,"AAAAABFuu50=")</f>
        <v>#REF!</v>
      </c>
      <c r="FC6" t="e">
        <f>AND(#REF!,"AAAAABFuu54=")</f>
        <v>#REF!</v>
      </c>
      <c r="FD6" t="e">
        <f>AND(#REF!,"AAAAABFuu58=")</f>
        <v>#REF!</v>
      </c>
      <c r="FE6" t="e">
        <f>IF(#REF!,"AAAAABFuu6A=",0)</f>
        <v>#REF!</v>
      </c>
      <c r="FF6" t="e">
        <f>AND(#REF!,"AAAAABFuu6E=")</f>
        <v>#REF!</v>
      </c>
      <c r="FG6" t="e">
        <f>AND(#REF!,"AAAAABFuu6I=")</f>
        <v>#REF!</v>
      </c>
      <c r="FH6" t="e">
        <f>AND(#REF!,"AAAAABFuu6M=")</f>
        <v>#REF!</v>
      </c>
      <c r="FI6" t="e">
        <f>AND(#REF!,"AAAAABFuu6Q=")</f>
        <v>#REF!</v>
      </c>
      <c r="FJ6" t="e">
        <f>AND(#REF!,"AAAAABFuu6U=")</f>
        <v>#REF!</v>
      </c>
      <c r="FK6" t="e">
        <f>AND(#REF!,"AAAAABFuu6Y=")</f>
        <v>#REF!</v>
      </c>
      <c r="FL6" t="e">
        <f>AND(#REF!,"AAAAABFuu6c=")</f>
        <v>#REF!</v>
      </c>
      <c r="FM6" t="e">
        <f>IF(#REF!,"AAAAABFuu6g=",0)</f>
        <v>#REF!</v>
      </c>
      <c r="FN6" t="e">
        <f>AND(#REF!,"AAAAABFuu6k=")</f>
        <v>#REF!</v>
      </c>
      <c r="FO6" t="e">
        <f>AND(#REF!,"AAAAABFuu6o=")</f>
        <v>#REF!</v>
      </c>
      <c r="FP6" t="e">
        <f>AND(#REF!,"AAAAABFuu6s=")</f>
        <v>#REF!</v>
      </c>
      <c r="FQ6" t="e">
        <f>AND(#REF!,"AAAAABFuu6w=")</f>
        <v>#REF!</v>
      </c>
      <c r="FR6" t="e">
        <f>AND(#REF!,"AAAAABFuu60=")</f>
        <v>#REF!</v>
      </c>
      <c r="FS6" t="e">
        <f>AND(#REF!,"AAAAABFuu64=")</f>
        <v>#REF!</v>
      </c>
      <c r="FT6" t="e">
        <f>AND(#REF!,"AAAAABFuu68=")</f>
        <v>#REF!</v>
      </c>
      <c r="FU6" t="e">
        <f>IF(#REF!,"AAAAABFuu7A=",0)</f>
        <v>#REF!</v>
      </c>
      <c r="FV6" t="e">
        <f>AND(#REF!,"AAAAABFuu7E=")</f>
        <v>#REF!</v>
      </c>
      <c r="FW6" t="e">
        <f>AND(#REF!,"AAAAABFuu7I=")</f>
        <v>#REF!</v>
      </c>
      <c r="FX6" t="e">
        <f>AND(#REF!,"AAAAABFuu7M=")</f>
        <v>#REF!</v>
      </c>
      <c r="FY6" t="e">
        <f>AND(#REF!,"AAAAABFuu7Q=")</f>
        <v>#REF!</v>
      </c>
      <c r="FZ6" t="e">
        <f>AND(#REF!,"AAAAABFuu7U=")</f>
        <v>#REF!</v>
      </c>
      <c r="GA6" t="e">
        <f>AND(#REF!,"AAAAABFuu7Y=")</f>
        <v>#REF!</v>
      </c>
      <c r="GB6" t="e">
        <f>AND(#REF!,"AAAAABFuu7c=")</f>
        <v>#REF!</v>
      </c>
      <c r="GC6" t="e">
        <f>IF(#REF!,"AAAAABFuu7g=",0)</f>
        <v>#REF!</v>
      </c>
      <c r="GD6" t="e">
        <f>AND(#REF!,"AAAAABFuu7k=")</f>
        <v>#REF!</v>
      </c>
      <c r="GE6" t="e">
        <f>AND(#REF!,"AAAAABFuu7o=")</f>
        <v>#REF!</v>
      </c>
      <c r="GF6" t="e">
        <f>AND(#REF!,"AAAAABFuu7s=")</f>
        <v>#REF!</v>
      </c>
      <c r="GG6" t="e">
        <f>AND(#REF!,"AAAAABFuu7w=")</f>
        <v>#REF!</v>
      </c>
      <c r="GH6" t="e">
        <f>AND(#REF!,"AAAAABFuu70=")</f>
        <v>#REF!</v>
      </c>
      <c r="GI6" t="e">
        <f>AND(#REF!,"AAAAABFuu74=")</f>
        <v>#REF!</v>
      </c>
      <c r="GJ6" t="e">
        <f>AND(#REF!,"AAAAABFuu78=")</f>
        <v>#REF!</v>
      </c>
      <c r="GK6" t="e">
        <f>IF(#REF!,"AAAAABFuu8A=",0)</f>
        <v>#REF!</v>
      </c>
      <c r="GL6" t="e">
        <f>AND(#REF!,"AAAAABFuu8E=")</f>
        <v>#REF!</v>
      </c>
      <c r="GM6" t="e">
        <f>AND(#REF!,"AAAAABFuu8I=")</f>
        <v>#REF!</v>
      </c>
      <c r="GN6" t="e">
        <f>AND(#REF!,"AAAAABFuu8M=")</f>
        <v>#REF!</v>
      </c>
      <c r="GO6" t="e">
        <f>AND(#REF!,"AAAAABFuu8Q=")</f>
        <v>#REF!</v>
      </c>
      <c r="GP6" t="e">
        <f>AND(#REF!,"AAAAABFuu8U=")</f>
        <v>#REF!</v>
      </c>
      <c r="GQ6" t="e">
        <f>AND(#REF!,"AAAAABFuu8Y=")</f>
        <v>#REF!</v>
      </c>
      <c r="GR6" t="e">
        <f>AND(#REF!,"AAAAABFuu8c=")</f>
        <v>#REF!</v>
      </c>
      <c r="GS6" t="e">
        <f>IF(#REF!,"AAAAABFuu8g=",0)</f>
        <v>#REF!</v>
      </c>
      <c r="GT6" t="e">
        <f>AND(#REF!,"AAAAABFuu8k=")</f>
        <v>#REF!</v>
      </c>
      <c r="GU6" t="e">
        <f>AND(#REF!,"AAAAABFuu8o=")</f>
        <v>#REF!</v>
      </c>
      <c r="GV6" t="e">
        <f>AND(#REF!,"AAAAABFuu8s=")</f>
        <v>#REF!</v>
      </c>
      <c r="GW6" t="e">
        <f>AND(#REF!,"AAAAABFuu8w=")</f>
        <v>#REF!</v>
      </c>
      <c r="GX6" t="e">
        <f>AND(#REF!,"AAAAABFuu80=")</f>
        <v>#REF!</v>
      </c>
      <c r="GY6" t="e">
        <f>AND(#REF!,"AAAAABFuu84=")</f>
        <v>#REF!</v>
      </c>
      <c r="GZ6" t="e">
        <f>AND(#REF!,"AAAAABFuu88=")</f>
        <v>#REF!</v>
      </c>
      <c r="HA6" t="e">
        <f>IF(#REF!,"AAAAABFuu9A=",0)</f>
        <v>#REF!</v>
      </c>
      <c r="HB6" t="e">
        <f>AND(#REF!,"AAAAABFuu9E=")</f>
        <v>#REF!</v>
      </c>
      <c r="HC6" t="e">
        <f>AND(#REF!,"AAAAABFuu9I=")</f>
        <v>#REF!</v>
      </c>
      <c r="HD6" t="e">
        <f>AND(#REF!,"AAAAABFuu9M=")</f>
        <v>#REF!</v>
      </c>
      <c r="HE6" t="e">
        <f>AND(#REF!,"AAAAABFuu9Q=")</f>
        <v>#REF!</v>
      </c>
      <c r="HF6" t="e">
        <f>AND(#REF!,"AAAAABFuu9U=")</f>
        <v>#REF!</v>
      </c>
      <c r="HG6" t="e">
        <f>AND(#REF!,"AAAAABFuu9Y=")</f>
        <v>#REF!</v>
      </c>
      <c r="HH6" t="e">
        <f>AND(#REF!,"AAAAABFuu9c=")</f>
        <v>#REF!</v>
      </c>
      <c r="HI6" t="e">
        <f>IF(#REF!,"AAAAABFuu9g=",0)</f>
        <v>#REF!</v>
      </c>
      <c r="HJ6" t="e">
        <f>AND(#REF!,"AAAAABFuu9k=")</f>
        <v>#REF!</v>
      </c>
      <c r="HK6" t="e">
        <f>AND(#REF!,"AAAAABFuu9o=")</f>
        <v>#REF!</v>
      </c>
      <c r="HL6" t="e">
        <f>AND(#REF!,"AAAAABFuu9s=")</f>
        <v>#REF!</v>
      </c>
      <c r="HM6" t="e">
        <f>AND(#REF!,"AAAAABFuu9w=")</f>
        <v>#REF!</v>
      </c>
      <c r="HN6" t="e">
        <f>AND(#REF!,"AAAAABFuu90=")</f>
        <v>#REF!</v>
      </c>
      <c r="HO6" t="e">
        <f>AND(#REF!,"AAAAABFuu94=")</f>
        <v>#REF!</v>
      </c>
      <c r="HP6" t="e">
        <f>AND(#REF!,"AAAAABFuu98=")</f>
        <v>#REF!</v>
      </c>
      <c r="HQ6" t="e">
        <f>IF(#REF!,"AAAAABFuu+A=",0)</f>
        <v>#REF!</v>
      </c>
      <c r="HR6" t="e">
        <f>AND(#REF!,"AAAAABFuu+E=")</f>
        <v>#REF!</v>
      </c>
      <c r="HS6" t="e">
        <f>AND(#REF!,"AAAAABFuu+I=")</f>
        <v>#REF!</v>
      </c>
      <c r="HT6" t="e">
        <f>AND(#REF!,"AAAAABFuu+M=")</f>
        <v>#REF!</v>
      </c>
      <c r="HU6" t="e">
        <f>AND(#REF!,"AAAAABFuu+Q=")</f>
        <v>#REF!</v>
      </c>
      <c r="HV6" t="e">
        <f>AND(#REF!,"AAAAABFuu+U=")</f>
        <v>#REF!</v>
      </c>
      <c r="HW6" t="e">
        <f>AND(#REF!,"AAAAABFuu+Y=")</f>
        <v>#REF!</v>
      </c>
      <c r="HX6" t="e">
        <f>AND(#REF!,"AAAAABFuu+c=")</f>
        <v>#REF!</v>
      </c>
      <c r="HY6" t="e">
        <f>IF(#REF!,"AAAAABFuu+g=",0)</f>
        <v>#REF!</v>
      </c>
      <c r="HZ6" t="e">
        <f>AND(#REF!,"AAAAABFuu+k=")</f>
        <v>#REF!</v>
      </c>
      <c r="IA6" t="e">
        <f>AND(#REF!,"AAAAABFuu+o=")</f>
        <v>#REF!</v>
      </c>
      <c r="IB6" t="e">
        <f>AND(#REF!,"AAAAABFuu+s=")</f>
        <v>#REF!</v>
      </c>
      <c r="IC6" t="e">
        <f>AND(#REF!,"AAAAABFuu+w=")</f>
        <v>#REF!</v>
      </c>
      <c r="ID6" t="e">
        <f>AND(#REF!,"AAAAABFuu+0=")</f>
        <v>#REF!</v>
      </c>
      <c r="IE6" t="e">
        <f>AND(#REF!,"AAAAABFuu+4=")</f>
        <v>#REF!</v>
      </c>
      <c r="IF6" t="e">
        <f>AND(#REF!,"AAAAABFuu+8=")</f>
        <v>#REF!</v>
      </c>
      <c r="IG6" t="e">
        <f>IF(#REF!,"AAAAABFuu/A=",0)</f>
        <v>#REF!</v>
      </c>
      <c r="IH6" t="e">
        <f>AND(#REF!,"AAAAABFuu/E=")</f>
        <v>#REF!</v>
      </c>
      <c r="II6" t="e">
        <f>AND(#REF!,"AAAAABFuu/I=")</f>
        <v>#REF!</v>
      </c>
      <c r="IJ6" t="e">
        <f>AND(#REF!,"AAAAABFuu/M=")</f>
        <v>#REF!</v>
      </c>
      <c r="IK6" t="e">
        <f>AND(#REF!,"AAAAABFuu/Q=")</f>
        <v>#REF!</v>
      </c>
      <c r="IL6" t="e">
        <f>AND(#REF!,"AAAAABFuu/U=")</f>
        <v>#REF!</v>
      </c>
      <c r="IM6" t="e">
        <f>AND(#REF!,"AAAAABFuu/Y=")</f>
        <v>#REF!</v>
      </c>
      <c r="IN6" t="e">
        <f>AND(#REF!,"AAAAABFuu/c=")</f>
        <v>#REF!</v>
      </c>
      <c r="IO6" t="e">
        <f>IF(#REF!,"AAAAABFuu/g=",0)</f>
        <v>#REF!</v>
      </c>
      <c r="IP6" t="e">
        <f>AND(#REF!,"AAAAABFuu/k=")</f>
        <v>#REF!</v>
      </c>
      <c r="IQ6" t="e">
        <f>AND(#REF!,"AAAAABFuu/o=")</f>
        <v>#REF!</v>
      </c>
      <c r="IR6" t="e">
        <f>AND(#REF!,"AAAAABFuu/s=")</f>
        <v>#REF!</v>
      </c>
      <c r="IS6" t="e">
        <f>AND(#REF!,"AAAAABFuu/w=")</f>
        <v>#REF!</v>
      </c>
      <c r="IT6" t="e">
        <f>AND(#REF!,"AAAAABFuu/0=")</f>
        <v>#REF!</v>
      </c>
      <c r="IU6" t="e">
        <f>AND(#REF!,"AAAAABFuu/4=")</f>
        <v>#REF!</v>
      </c>
      <c r="IV6" t="e">
        <f>AND(#REF!,"AAAAABFuu/8=")</f>
        <v>#REF!</v>
      </c>
    </row>
    <row r="7" spans="1:152" ht="15">
      <c r="A7" t="e">
        <f>IF(#REF!,"AAAAAH3e/wA=",0)</f>
        <v>#REF!</v>
      </c>
      <c r="B7" t="e">
        <f>AND(#REF!,"AAAAAH3e/wE=")</f>
        <v>#REF!</v>
      </c>
      <c r="C7" t="e">
        <f>AND(#REF!,"AAAAAH3e/wI=")</f>
        <v>#REF!</v>
      </c>
      <c r="D7" t="e">
        <f>AND(#REF!,"AAAAAH3e/wM=")</f>
        <v>#REF!</v>
      </c>
      <c r="E7" t="e">
        <f>AND(#REF!,"AAAAAH3e/wQ=")</f>
        <v>#REF!</v>
      </c>
      <c r="F7" t="e">
        <f>AND(#REF!,"AAAAAH3e/wU=")</f>
        <v>#REF!</v>
      </c>
      <c r="G7" t="e">
        <f>AND(#REF!,"AAAAAH3e/wY=")</f>
        <v>#REF!</v>
      </c>
      <c r="H7" t="e">
        <f>AND(#REF!,"AAAAAH3e/wc=")</f>
        <v>#REF!</v>
      </c>
      <c r="I7" t="e">
        <f>IF(#REF!,"AAAAAH3e/wg=",0)</f>
        <v>#REF!</v>
      </c>
      <c r="J7" t="e">
        <f>AND(#REF!,"AAAAAH3e/wk=")</f>
        <v>#REF!</v>
      </c>
      <c r="K7" t="e">
        <f>AND(#REF!,"AAAAAH3e/wo=")</f>
        <v>#REF!</v>
      </c>
      <c r="L7" t="e">
        <f>AND(#REF!,"AAAAAH3e/ws=")</f>
        <v>#REF!</v>
      </c>
      <c r="M7" t="e">
        <f>AND(#REF!,"AAAAAH3e/ww=")</f>
        <v>#REF!</v>
      </c>
      <c r="N7" t="e">
        <f>AND(#REF!,"AAAAAH3e/w0=")</f>
        <v>#REF!</v>
      </c>
      <c r="O7" t="e">
        <f>AND(#REF!,"AAAAAH3e/w4=")</f>
        <v>#REF!</v>
      </c>
      <c r="P7" t="e">
        <f>AND(#REF!,"AAAAAH3e/w8=")</f>
        <v>#REF!</v>
      </c>
      <c r="Q7" t="e">
        <f>IF(#REF!,"AAAAAH3e/xA=",0)</f>
        <v>#REF!</v>
      </c>
      <c r="R7" t="e">
        <f>AND(#REF!,"AAAAAH3e/xE=")</f>
        <v>#REF!</v>
      </c>
      <c r="S7" t="e">
        <f>AND(#REF!,"AAAAAH3e/xI=")</f>
        <v>#REF!</v>
      </c>
      <c r="T7" t="e">
        <f>AND(#REF!,"AAAAAH3e/xM=")</f>
        <v>#REF!</v>
      </c>
      <c r="U7" t="e">
        <f>AND(#REF!,"AAAAAH3e/xQ=")</f>
        <v>#REF!</v>
      </c>
      <c r="V7" t="e">
        <f>AND(#REF!,"AAAAAH3e/xU=")</f>
        <v>#REF!</v>
      </c>
      <c r="W7" t="e">
        <f>AND(#REF!,"AAAAAH3e/xY=")</f>
        <v>#REF!</v>
      </c>
      <c r="X7" t="e">
        <f>AND(#REF!,"AAAAAH3e/xc=")</f>
        <v>#REF!</v>
      </c>
      <c r="Y7" t="e">
        <f>IF(#REF!,"AAAAAH3e/xg=",0)</f>
        <v>#REF!</v>
      </c>
      <c r="Z7" t="e">
        <f>AND(#REF!,"AAAAAH3e/xk=")</f>
        <v>#REF!</v>
      </c>
      <c r="AA7" t="e">
        <f>AND(#REF!,"AAAAAH3e/xo=")</f>
        <v>#REF!</v>
      </c>
      <c r="AB7" t="e">
        <f>AND(#REF!,"AAAAAH3e/xs=")</f>
        <v>#REF!</v>
      </c>
      <c r="AC7" t="e">
        <f>AND(#REF!,"AAAAAH3e/xw=")</f>
        <v>#REF!</v>
      </c>
      <c r="AD7" t="e">
        <f>AND(#REF!,"AAAAAH3e/x0=")</f>
        <v>#REF!</v>
      </c>
      <c r="AE7" t="e">
        <f>AND(#REF!,"AAAAAH3e/x4=")</f>
        <v>#REF!</v>
      </c>
      <c r="AF7" t="e">
        <f>AND(#REF!,"AAAAAH3e/x8=")</f>
        <v>#REF!</v>
      </c>
      <c r="AG7" t="e">
        <f>IF(#REF!,"AAAAAH3e/yA=",0)</f>
        <v>#REF!</v>
      </c>
      <c r="AH7" t="e">
        <f>AND(#REF!,"AAAAAH3e/yE=")</f>
        <v>#REF!</v>
      </c>
      <c r="AI7" t="e">
        <f>AND(#REF!,"AAAAAH3e/yI=")</f>
        <v>#REF!</v>
      </c>
      <c r="AJ7" t="e">
        <f>AND(#REF!,"AAAAAH3e/yM=")</f>
        <v>#REF!</v>
      </c>
      <c r="AK7" t="e">
        <f>AND(#REF!,"AAAAAH3e/yQ=")</f>
        <v>#REF!</v>
      </c>
      <c r="AL7" t="e">
        <f>AND(#REF!,"AAAAAH3e/yU=")</f>
        <v>#REF!</v>
      </c>
      <c r="AM7" t="e">
        <f>AND(#REF!,"AAAAAH3e/yY=")</f>
        <v>#REF!</v>
      </c>
      <c r="AN7" t="e">
        <f>AND(#REF!,"AAAAAH3e/yc=")</f>
        <v>#REF!</v>
      </c>
      <c r="AO7" t="e">
        <f>IF(#REF!,"AAAAAH3e/yg=",0)</f>
        <v>#REF!</v>
      </c>
      <c r="AP7" t="e">
        <f>AND(#REF!,"AAAAAH3e/yk=")</f>
        <v>#REF!</v>
      </c>
      <c r="AQ7" t="e">
        <f>AND(#REF!,"AAAAAH3e/yo=")</f>
        <v>#REF!</v>
      </c>
      <c r="AR7" t="e">
        <f>AND(#REF!,"AAAAAH3e/ys=")</f>
        <v>#REF!</v>
      </c>
      <c r="AS7" t="e">
        <f>AND(#REF!,"AAAAAH3e/yw=")</f>
        <v>#REF!</v>
      </c>
      <c r="AT7" t="e">
        <f>AND(#REF!,"AAAAAH3e/y0=")</f>
        <v>#REF!</v>
      </c>
      <c r="AU7" t="e">
        <f>AND(#REF!,"AAAAAH3e/y4=")</f>
        <v>#REF!</v>
      </c>
      <c r="AV7" t="e">
        <f>AND(#REF!,"AAAAAH3e/y8=")</f>
        <v>#REF!</v>
      </c>
      <c r="AW7" t="e">
        <f>IF(#REF!,"AAAAAH3e/zA=",0)</f>
        <v>#REF!</v>
      </c>
      <c r="AX7" t="e">
        <f>AND(#REF!,"AAAAAH3e/zE=")</f>
        <v>#REF!</v>
      </c>
      <c r="AY7" t="e">
        <f>AND(#REF!,"AAAAAH3e/zI=")</f>
        <v>#REF!</v>
      </c>
      <c r="AZ7" t="e">
        <f>AND(#REF!,"AAAAAH3e/zM=")</f>
        <v>#REF!</v>
      </c>
      <c r="BA7" t="e">
        <f>AND(#REF!,"AAAAAH3e/zQ=")</f>
        <v>#REF!</v>
      </c>
      <c r="BB7" t="e">
        <f>AND(#REF!,"AAAAAH3e/zU=")</f>
        <v>#REF!</v>
      </c>
      <c r="BC7" t="e">
        <f>AND(#REF!,"AAAAAH3e/zY=")</f>
        <v>#REF!</v>
      </c>
      <c r="BD7" t="e">
        <f>AND(#REF!,"AAAAAH3e/zc=")</f>
        <v>#REF!</v>
      </c>
      <c r="BE7" t="e">
        <f>IF(#REF!,"AAAAAH3e/zg=",0)</f>
        <v>#REF!</v>
      </c>
      <c r="BF7" t="e">
        <f>AND(#REF!,"AAAAAH3e/zk=")</f>
        <v>#REF!</v>
      </c>
      <c r="BG7" t="e">
        <f>AND(#REF!,"AAAAAH3e/zo=")</f>
        <v>#REF!</v>
      </c>
      <c r="BH7" t="e">
        <f>AND(#REF!,"AAAAAH3e/zs=")</f>
        <v>#REF!</v>
      </c>
      <c r="BI7" t="e">
        <f>AND(#REF!,"AAAAAH3e/zw=")</f>
        <v>#REF!</v>
      </c>
      <c r="BJ7" t="e">
        <f>AND(#REF!,"AAAAAH3e/z0=")</f>
        <v>#REF!</v>
      </c>
      <c r="BK7" t="e">
        <f>AND(#REF!,"AAAAAH3e/z4=")</f>
        <v>#REF!</v>
      </c>
      <c r="BL7" t="e">
        <f>AND(#REF!,"AAAAAH3e/z8=")</f>
        <v>#REF!</v>
      </c>
      <c r="BM7" t="e">
        <f>IF(#REF!,"AAAAAH3e/0A=",0)</f>
        <v>#REF!</v>
      </c>
      <c r="BN7" t="e">
        <f>AND(#REF!,"AAAAAH3e/0E=")</f>
        <v>#REF!</v>
      </c>
      <c r="BO7" t="e">
        <f>AND(#REF!,"AAAAAH3e/0I=")</f>
        <v>#REF!</v>
      </c>
      <c r="BP7" t="e">
        <f>AND(#REF!,"AAAAAH3e/0M=")</f>
        <v>#REF!</v>
      </c>
      <c r="BQ7" t="e">
        <f>AND(#REF!,"AAAAAH3e/0Q=")</f>
        <v>#REF!</v>
      </c>
      <c r="BR7" t="e">
        <f>AND(#REF!,"AAAAAH3e/0U=")</f>
        <v>#REF!</v>
      </c>
      <c r="BS7" t="e">
        <f>AND(#REF!,"AAAAAH3e/0Y=")</f>
        <v>#REF!</v>
      </c>
      <c r="BT7" t="e">
        <f>AND(#REF!,"AAAAAH3e/0c=")</f>
        <v>#REF!</v>
      </c>
      <c r="BU7" t="e">
        <f>IF(#REF!,"AAAAAH3e/0g=",0)</f>
        <v>#REF!</v>
      </c>
      <c r="BV7" t="e">
        <f>AND(#REF!,"AAAAAH3e/0k=")</f>
        <v>#REF!</v>
      </c>
      <c r="BW7" t="e">
        <f>AND(#REF!,"AAAAAH3e/0o=")</f>
        <v>#REF!</v>
      </c>
      <c r="BX7" t="e">
        <f>AND(#REF!,"AAAAAH3e/0s=")</f>
        <v>#REF!</v>
      </c>
      <c r="BY7" t="e">
        <f>AND(#REF!,"AAAAAH3e/0w=")</f>
        <v>#REF!</v>
      </c>
      <c r="BZ7" t="e">
        <f>AND(#REF!,"AAAAAH3e/00=")</f>
        <v>#REF!</v>
      </c>
      <c r="CA7" t="e">
        <f>AND(#REF!,"AAAAAH3e/04=")</f>
        <v>#REF!</v>
      </c>
      <c r="CB7" t="e">
        <f>AND(#REF!,"AAAAAH3e/08=")</f>
        <v>#REF!</v>
      </c>
      <c r="CC7" t="e">
        <f>IF(#REF!,"AAAAAH3e/1A=",0)</f>
        <v>#REF!</v>
      </c>
      <c r="CD7" t="e">
        <f>AND(#REF!,"AAAAAH3e/1E=")</f>
        <v>#REF!</v>
      </c>
      <c r="CE7" t="e">
        <f>AND(#REF!,"AAAAAH3e/1I=")</f>
        <v>#REF!</v>
      </c>
      <c r="CF7" t="e">
        <f>AND(#REF!,"AAAAAH3e/1M=")</f>
        <v>#REF!</v>
      </c>
      <c r="CG7" t="e">
        <f>AND(#REF!,"AAAAAH3e/1Q=")</f>
        <v>#REF!</v>
      </c>
      <c r="CH7" t="e">
        <f>AND(#REF!,"AAAAAH3e/1U=")</f>
        <v>#REF!</v>
      </c>
      <c r="CI7" t="e">
        <f>AND(#REF!,"AAAAAH3e/1Y=")</f>
        <v>#REF!</v>
      </c>
      <c r="CJ7" t="e">
        <f>AND(#REF!,"AAAAAH3e/1c=")</f>
        <v>#REF!</v>
      </c>
      <c r="CK7" t="e">
        <f>IF(#REF!,"AAAAAH3e/1g=",0)</f>
        <v>#REF!</v>
      </c>
      <c r="CL7" t="e">
        <f>AND(#REF!,"AAAAAH3e/1k=")</f>
        <v>#REF!</v>
      </c>
      <c r="CM7" t="e">
        <f>AND(#REF!,"AAAAAH3e/1o=")</f>
        <v>#REF!</v>
      </c>
      <c r="CN7" t="e">
        <f>AND(#REF!,"AAAAAH3e/1s=")</f>
        <v>#REF!</v>
      </c>
      <c r="CO7" t="e">
        <f>AND(#REF!,"AAAAAH3e/1w=")</f>
        <v>#REF!</v>
      </c>
      <c r="CP7" t="e">
        <f>AND(#REF!,"AAAAAH3e/10=")</f>
        <v>#REF!</v>
      </c>
      <c r="CQ7" t="e">
        <f>AND(#REF!,"AAAAAH3e/14=")</f>
        <v>#REF!</v>
      </c>
      <c r="CR7" t="e">
        <f>AND(#REF!,"AAAAAH3e/18=")</f>
        <v>#REF!</v>
      </c>
      <c r="CS7" t="e">
        <f>IF(#REF!,"AAAAAH3e/2A=",0)</f>
        <v>#REF!</v>
      </c>
      <c r="CT7" t="e">
        <f>AND(#REF!,"AAAAAH3e/2E=")</f>
        <v>#REF!</v>
      </c>
      <c r="CU7" t="e">
        <f>AND(#REF!,"AAAAAH3e/2I=")</f>
        <v>#REF!</v>
      </c>
      <c r="CV7" t="e">
        <f>AND(#REF!,"AAAAAH3e/2M=")</f>
        <v>#REF!</v>
      </c>
      <c r="CW7" t="e">
        <f>AND(#REF!,"AAAAAH3e/2Q=")</f>
        <v>#REF!</v>
      </c>
      <c r="CX7" t="e">
        <f>AND(#REF!,"AAAAAH3e/2U=")</f>
        <v>#REF!</v>
      </c>
      <c r="CY7" t="e">
        <f>AND(#REF!,"AAAAAH3e/2Y=")</f>
        <v>#REF!</v>
      </c>
      <c r="CZ7" t="e">
        <f>AND(#REF!,"AAAAAH3e/2c=")</f>
        <v>#REF!</v>
      </c>
      <c r="DA7" t="e">
        <f>IF(#REF!,"AAAAAH3e/2g=",0)</f>
        <v>#REF!</v>
      </c>
      <c r="DB7" t="e">
        <f>AND(#REF!,"AAAAAH3e/2k=")</f>
        <v>#REF!</v>
      </c>
      <c r="DC7" t="e">
        <f>AND(#REF!,"AAAAAH3e/2o=")</f>
        <v>#REF!</v>
      </c>
      <c r="DD7" t="e">
        <f>AND(#REF!,"AAAAAH3e/2s=")</f>
        <v>#REF!</v>
      </c>
      <c r="DE7" t="e">
        <f>AND(#REF!,"AAAAAH3e/2w=")</f>
        <v>#REF!</v>
      </c>
      <c r="DF7" t="e">
        <f>AND(#REF!,"AAAAAH3e/20=")</f>
        <v>#REF!</v>
      </c>
      <c r="DG7" t="e">
        <f>AND(#REF!,"AAAAAH3e/24=")</f>
        <v>#REF!</v>
      </c>
      <c r="DH7" t="e">
        <f>AND(#REF!,"AAAAAH3e/28=")</f>
        <v>#REF!</v>
      </c>
      <c r="DI7" t="e">
        <f>IF(#REF!,"AAAAAH3e/3A=",0)</f>
        <v>#REF!</v>
      </c>
      <c r="DJ7" t="e">
        <f>AND(#REF!,"AAAAAH3e/3E=")</f>
        <v>#REF!</v>
      </c>
      <c r="DK7" t="e">
        <f>AND(#REF!,"AAAAAH3e/3I=")</f>
        <v>#REF!</v>
      </c>
      <c r="DL7" t="e">
        <f>AND(#REF!,"AAAAAH3e/3M=")</f>
        <v>#REF!</v>
      </c>
      <c r="DM7" t="e">
        <f>AND(#REF!,"AAAAAH3e/3Q=")</f>
        <v>#REF!</v>
      </c>
      <c r="DN7" t="e">
        <f>AND(#REF!,"AAAAAH3e/3U=")</f>
        <v>#REF!</v>
      </c>
      <c r="DO7" t="e">
        <f>AND(#REF!,"AAAAAH3e/3Y=")</f>
        <v>#REF!</v>
      </c>
      <c r="DP7" t="e">
        <f>AND(#REF!,"AAAAAH3e/3c=")</f>
        <v>#REF!</v>
      </c>
      <c r="DQ7" t="e">
        <f>IF(#REF!,"AAAAAH3e/3g=",0)</f>
        <v>#REF!</v>
      </c>
      <c r="DR7" t="e">
        <f>AND(#REF!,"AAAAAH3e/3k=")</f>
        <v>#REF!</v>
      </c>
      <c r="DS7" t="e">
        <f>AND(#REF!,"AAAAAH3e/3o=")</f>
        <v>#REF!</v>
      </c>
      <c r="DT7" t="e">
        <f>AND(#REF!,"AAAAAH3e/3s=")</f>
        <v>#REF!</v>
      </c>
      <c r="DU7" t="e">
        <f>AND(#REF!,"AAAAAH3e/3w=")</f>
        <v>#REF!</v>
      </c>
      <c r="DV7" t="e">
        <f>AND(#REF!,"AAAAAH3e/30=")</f>
        <v>#REF!</v>
      </c>
      <c r="DW7" t="e">
        <f>AND(#REF!,"AAAAAH3e/34=")</f>
        <v>#REF!</v>
      </c>
      <c r="DX7" t="e">
        <f>AND(#REF!,"AAAAAH3e/38=")</f>
        <v>#REF!</v>
      </c>
      <c r="DY7" t="e">
        <f>IF(#REF!,"AAAAAH3e/4A=",0)</f>
        <v>#REF!</v>
      </c>
      <c r="DZ7" t="e">
        <f>AND(#REF!,"AAAAAH3e/4E=")</f>
        <v>#REF!</v>
      </c>
      <c r="EA7" t="e">
        <f>AND(#REF!,"AAAAAH3e/4I=")</f>
        <v>#REF!</v>
      </c>
      <c r="EB7" t="e">
        <f>AND(#REF!,"AAAAAH3e/4M=")</f>
        <v>#REF!</v>
      </c>
      <c r="EC7" t="e">
        <f>AND(#REF!,"AAAAAH3e/4Q=")</f>
        <v>#REF!</v>
      </c>
      <c r="ED7" t="e">
        <f>AND(#REF!,"AAAAAH3e/4U=")</f>
        <v>#REF!</v>
      </c>
      <c r="EE7" t="e">
        <f>AND(#REF!,"AAAAAH3e/4Y=")</f>
        <v>#REF!</v>
      </c>
      <c r="EF7" t="e">
        <f>AND(#REF!,"AAAAAH3e/4c=")</f>
        <v>#REF!</v>
      </c>
      <c r="EG7" t="e">
        <f>IF(#REF!,"AAAAAH3e/4g=",0)</f>
        <v>#REF!</v>
      </c>
      <c r="EH7" t="e">
        <f>AND(#REF!,"AAAAAH3e/4k=")</f>
        <v>#REF!</v>
      </c>
      <c r="EI7" t="e">
        <f>AND(#REF!,"AAAAAH3e/4o=")</f>
        <v>#REF!</v>
      </c>
      <c r="EJ7" t="e">
        <f>IF(#REF!,"AAAAAH3e/4s=",0)</f>
        <v>#REF!</v>
      </c>
      <c r="EK7" t="e">
        <f>IF(#REF!,"AAAAAH3e/4w=",0)</f>
        <v>#REF!</v>
      </c>
      <c r="EL7" t="e">
        <f>IF(#REF!,"AAAAAH3e/40=",0)</f>
        <v>#REF!</v>
      </c>
      <c r="EM7" t="e">
        <f>IF(#REF!,"AAAAAH3e/44=",0)</f>
        <v>#REF!</v>
      </c>
      <c r="EN7" t="e">
        <f>IF(#REF!,"AAAAAH3e/48=",0)</f>
        <v>#REF!</v>
      </c>
      <c r="EO7" t="e">
        <f>IF(#REF!,"AAAAAH3e/5A=",0)</f>
        <v>#REF!</v>
      </c>
      <c r="EP7" t="e">
        <f>IF(#REF!,"AAAAAH3e/5E=",0)</f>
        <v>#REF!</v>
      </c>
      <c r="EQ7" t="e">
        <f>IF('Tabella 1'!#REF!,"AAAAAH3e/5I=",0)</f>
        <v>#REF!</v>
      </c>
      <c r="ER7" t="e">
        <f>AND('Tabella 1'!#REF!,"AAAAAH3e/5M=")</f>
        <v>#REF!</v>
      </c>
      <c r="ES7" t="e">
        <f>IF('Tabella 1'!B:B,"AAAAAH3e/5Q=",0)</f>
        <v>#VALUE!</v>
      </c>
      <c r="ET7">
        <f>IF('Tabella 2 Competenze'!1:1,"AAAAAH3e/5U=",0)</f>
        <v>0</v>
      </c>
      <c r="EU7" t="e">
        <f>AND('Tabella 2 Competenze'!A1,"AAAAAH3e/5Y=")</f>
        <v>#VALUE!</v>
      </c>
      <c r="EV7">
        <f>IF('Tabella 2 Competenze'!A:A,"AAAAAH3e/5c=",0)</f>
        <v>0</v>
      </c>
    </row>
  </sheetData>
  <sheetProtection/>
  <printOptions/>
  <pageMargins left="0.7" right="0.7" top="0.75" bottom="0.75" header="0.3" footer="0.3"/>
  <pageSetup orientation="portrait" paperSize="9"/>
  <customProperties>
    <customPr name="DVSECTIONID" r:id="rId1"/>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sisti</dc:creator>
  <cp:keywords/>
  <dc:description/>
  <cp:lastModifiedBy>andrea sisti</cp:lastModifiedBy>
  <dcterms:created xsi:type="dcterms:W3CDTF">2012-07-30T16:54:11Z</dcterms:created>
  <dcterms:modified xsi:type="dcterms:W3CDTF">2013-08-07T14:25:23Z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oogle.Documents.DocumentId">
    <vt:lpwstr>1BSFJ4yYCWeyw4IdcamQ02mn2rZSWFYdVELljCncSRmc</vt:lpwstr>
  </property>
  <property fmtid="{D5CDD505-2E9C-101B-9397-08002B2CF9AE}" pid="3" name="Google.Documents.RevisionId">
    <vt:lpwstr>01318999366229212092</vt:lpwstr>
  </property>
  <property fmtid="{D5CDD505-2E9C-101B-9397-08002B2CF9AE}" pid="4" name="Google.Documents.PluginVersion">
    <vt:lpwstr>2.0.2662.553</vt:lpwstr>
  </property>
  <property fmtid="{D5CDD505-2E9C-101B-9397-08002B2CF9AE}" pid="5" name="Google.Documents.MergeIncapabilityFlags">
    <vt:i4>0</vt:i4>
  </property>
  <property fmtid="{D5CDD505-2E9C-101B-9397-08002B2CF9AE}" pid="6" name="Google.Documents.Tracking">
    <vt:lpwstr>true</vt:lpwstr>
  </property>
</Properties>
</file>